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ns0:workbook xmlns:ns0="http://schemas.openxmlformats.org/spreadsheetml/2006/main" xmlns:ns1="http://schemas.openxmlformats.org/markup-compatibility/2006" xmlns:ns2="http://schemas.microsoft.com/office/spreadsheetml/2010/11/ac" xmlns:ns3="http://schemas.microsoft.com/office/spreadsheetml/2014/revision" xmlns:ns4="http://schemas.microsoft.com/office/spreadsheetml/2016/revision6" xmlns:ns5="http://schemas.microsoft.com/office/spreadsheetml/2016/revision10" xmlns:ns6="http://schemas.microsoft.com/office/spreadsheetml/2015/revision2" xmlns:ns8="http://schemas.microsoft.com/office/spreadsheetml/2018/calcfeatures" xmlns:r="http://schemas.openxmlformats.org/officeDocument/2006/relationships" ns1:Ignorable="x15 xr xr6 xr10 xr2">
  <ns0:fileVersion appName="xl" lastEdited="7" lowestEdited="7" rupBuild="10510"/>
  <ns0:workbookPr/>
  <ns1:AlternateContent>
    <ns1:Choice Requires="x15">
      <ns2:absPath url="/Users/user/Desktop/Al Ashghal /Dynamic Healthcare System/"/>
    </ns1:Choice>
  </ns1:AlternateContent>
  <ns3:revisionPtr revIDLastSave="0" documentId="13_ncr:20001_{EF501952-EDF1-7849-AB3D-7F296217FF85}" ns4:coauthVersionLast="47" ns4:coauthVersionMax="47" ns5:uidLastSave="{00000000-0000-0000-0000-000000000000}"/>
  <ns0:bookViews>
    <ns0:workbookView xWindow="0" yWindow="0" windowWidth="28800" windowHeight="18000" activeTab="4" ns6:uid="{00000000-000D-0000-FFFF-FFFF00000000}"/>
  </ns0:bookViews>
  <ns0:sheets>
    <ns0:sheet name="Cover" sheetId="1" r:id="rId1"/>
    <ns0:sheet name="Assumptions" sheetId="2" r:id="rId2"/>
    <ns0:sheet name="Use of Funds" sheetId="3" r:id="rId3"/>
    <ns0:sheet name="Commission Model" sheetId="4" r:id="rId4"/>
    <ns0:sheet name="Entry Study" sheetId="13" r:id="rId5"/>
    <ns0:sheet name="3Y Scenarios" sheetId="5" r:id="rId6"/>
    <ns0:sheet name="36M Cash Flow" sheetId="6" r:id="rId7"/>
    <ns0:sheet name="P&amp;L Forecast" sheetId="7" r:id="rId8"/>
    <ns0:sheet name="Investor KPIs" sheetId="9" r:id="rId10"/>
    <ns0:sheet name="Risk Register" sheetId="11" r:id="rId11"/>
  </ns0:sheets>
  <ns0:calcPr calcId="191029"/>
  <ns0:fileRecoveryPr repairLoad="1"/>
  <ns0:extLst>
    <ns0:ext uri="{B58B0392-4F1F-4190-BB64-5DF3571DCE5F}">
      <ns8:calcFeatures>
        <ns8:feature name="microsoft.com:RD"/>
        <ns8:feature name="microsoft.com:Single"/>
        <ns8:feature name="microsoft.com:FV"/>
        <ns8:feature name="microsoft.com:CNMTM"/>
        <ns8:feature name="microsoft.com:LET_WF"/>
        <ns8:feature name="microsoft.com:LAMBDA_WF"/>
        <ns8:feature name="microsoft.com:ARRAYTEXT_WF"/>
      </ns8:calcFeatures>
    </ns0:ext>
  </ns0:extLst>
</ns0:workbook>
</file>

<file path=xl/sharedStrings.xml><?xml version="1.0" encoding="utf-8"?>
<sst xmlns="http://schemas.openxmlformats.org/spreadsheetml/2006/main" count="483" uniqueCount="328">
  <si>
    <t>DHS Investor Financial Model - CFO Version</t>
  </si>
  <si>
    <t>Company</t>
  </si>
  <si>
    <t>DHS - Digital Healthcare System</t>
  </si>
  <si>
    <t>Stage</t>
  </si>
  <si>
    <t>Pre-company / pre-launch</t>
  </si>
  <si>
    <t>Launch Target</t>
  </si>
  <si>
    <t>September 2026</t>
  </si>
  <si>
    <t>Market</t>
  </si>
  <si>
    <t>Lebanon clinic management ecosystem</t>
  </si>
  <si>
    <t>Addressable Clinics</t>
  </si>
  <si>
    <t>Initial Target</t>
  </si>
  <si>
    <t>Funding Budget</t>
  </si>
  <si>
    <t>Model Currency</t>
  </si>
  <si>
    <t>USD</t>
  </si>
  <si>
    <t>Prepared For</t>
  </si>
  <si>
    <t>Investor visibility study</t>
  </si>
  <si>
    <t>Workbook Sheets</t>
  </si>
  <si>
    <t>Purpose</t>
  </si>
  <si>
    <t>Assumptions</t>
  </si>
  <si>
    <t>Editable key inputs for scenarios</t>
  </si>
  <si>
    <t>Use of Funds</t>
  </si>
  <si>
    <t>Budget allocation and variance tracker</t>
  </si>
  <si>
    <t>Commission Model</t>
  </si>
  <si>
    <t>Sales team + Lebanese Order of Physicians acquisition economics</t>
  </si>
  <si>
    <t>3Y Scenarios</t>
  </si>
  <si>
    <t>Conservative, Expected, Aggressive 3-year model</t>
  </si>
  <si>
    <t>Dashboard Shots</t>
  </si>
  <si>
    <t>Presentation-ready screenshot tables</t>
  </si>
  <si>
    <t>Editable Assumptions - Blue Inputs</t>
  </si>
  <si>
    <t>Section</t>
  </si>
  <si>
    <t>Input</t>
  </si>
  <si>
    <t>Value</t>
  </si>
  <si>
    <t>Unit</t>
  </si>
  <si>
    <t>Source/Comment</t>
  </si>
  <si>
    <t>Used In</t>
  </si>
  <si>
    <t>Total budget</t>
  </si>
  <si>
    <t>$</t>
  </si>
  <si>
    <t>User-provided</t>
  </si>
  <si>
    <t>Use of Funds / Runway</t>
  </si>
  <si>
    <t>Launch date</t>
  </si>
  <si>
    <t>Sep-2026</t>
  </si>
  <si>
    <t>Month</t>
  </si>
  <si>
    <t>Timeline</t>
  </si>
  <si>
    <t>Lebanon clinics</t>
  </si>
  <si>
    <t>clinics</t>
  </si>
  <si>
    <t>User-provided assumption; verify before investor submission</t>
  </si>
  <si>
    <t>Market share</t>
  </si>
  <si>
    <t>Year 1 clinic target</t>
  </si>
  <si>
    <t>User-provided target</t>
  </si>
  <si>
    <t>Scenario model</t>
  </si>
  <si>
    <t>Pricing</t>
  </si>
  <si>
    <t>Monthly plan price</t>
  </si>
  <si>
    <t>$/month</t>
  </si>
  <si>
    <t>User-provided latest pricing</t>
  </si>
  <si>
    <t>Revenue</t>
  </si>
  <si>
    <t>6-month plan price</t>
  </si>
  <si>
    <t>Annual plan price</t>
  </si>
  <si>
    <t>Pricing Mix</t>
  </si>
  <si>
    <t>Monthly plan mix</t>
  </si>
  <si>
    <t>%</t>
  </si>
  <si>
    <t>Editable assumption</t>
  </si>
  <si>
    <t>ARPC</t>
  </si>
  <si>
    <t>6-month plan mix</t>
  </si>
  <si>
    <t>Annual plan mix</t>
  </si>
  <si>
    <t>Weighted ARPC</t>
  </si>
  <si>
    <t>$/clinic/month</t>
  </si>
  <si>
    <t>Formula</t>
  </si>
  <si>
    <t>Commercial</t>
  </si>
  <si>
    <t>Free first year offer?</t>
  </si>
  <si>
    <t>1=yes, 0=no</t>
  </si>
  <si>
    <t>DHS stated 1st year free; editable</t>
  </si>
  <si>
    <t>Revenue timing</t>
  </si>
  <si>
    <t>Paid conversion after free year</t>
  </si>
  <si>
    <t>Revenue / retention</t>
  </si>
  <si>
    <t>Churn</t>
  </si>
  <si>
    <t>Annual churn</t>
  </si>
  <si>
    <t>Startup estimate; replace with actual data post-launch</t>
  </si>
  <si>
    <t>Retention</t>
  </si>
  <si>
    <t>Sales Channel</t>
  </si>
  <si>
    <t>Internal sales sourced %</t>
  </si>
  <si>
    <t>Editable channel mix assumption</t>
  </si>
  <si>
    <t>Commissions</t>
  </si>
  <si>
    <t>Physicians order sourced %</t>
  </si>
  <si>
    <t>Commission</t>
  </si>
  <si>
    <t>Sales first-year commission</t>
  </si>
  <si>
    <t>User: 8%-10%; model uses 10% conservative cost</t>
  </si>
  <si>
    <t>Sales retention commission</t>
  </si>
  <si>
    <t>Physicians first-year commission</t>
  </si>
  <si>
    <t>Physicians retention commission</t>
  </si>
  <si>
    <t>Costs</t>
  </si>
  <si>
    <t>Development budget</t>
  </si>
  <si>
    <t>User range $40k-$60k; model uses high end</t>
  </si>
  <si>
    <t>Cybersecurity budget</t>
  </si>
  <si>
    <t>CFO estimate based on provided category</t>
  </si>
  <si>
    <t>Marketing budget</t>
  </si>
  <si>
    <t>User-provided latest marketing budget</t>
  </si>
  <si>
    <t>Use of Funds / P&amp;L</t>
  </si>
  <si>
    <t>Sales salary/month</t>
  </si>
  <si>
    <t>3 reps x $500 + manager x $1,000</t>
  </si>
  <si>
    <t>P&amp;L</t>
  </si>
  <si>
    <t>Legal/accounting/logistics</t>
  </si>
  <si>
    <t>User-provided max</t>
  </si>
  <si>
    <t>Office/admin budget</t>
  </si>
  <si>
    <t>Infra cost/active clinic/month</t>
  </si>
  <si>
    <t>Startup placeholder; replace after technical pricing</t>
  </si>
  <si>
    <t>COGS</t>
  </si>
  <si>
    <t>Support cost/active clinic/month</t>
  </si>
  <si>
    <t>Startup placeholder; replace after operations plan</t>
  </si>
  <si>
    <t>Payment processing rate</t>
  </si>
  <si>
    <t>% of revenue</t>
  </si>
  <si>
    <t>Startup placeholder; replace with bank/payment provider terms</t>
  </si>
  <si>
    <t>Recommended Allocation</t>
  </si>
  <si>
    <t>Budget ($)</t>
  </si>
  <si>
    <t>% of Budget</t>
  </si>
  <si>
    <t>Actual Spend ($)</t>
  </si>
  <si>
    <t>Remaining ($)</t>
  </si>
  <si>
    <t>Investor Rationale</t>
  </si>
  <si>
    <t>Development / Product</t>
  </si>
  <si>
    <t>Web, app, backend, testing, finalization</t>
  </si>
  <si>
    <t>Cybersecurity &amp; Testing</t>
  </si>
  <si>
    <t>Security audit, pen-testing, monitoring</t>
  </si>
  <si>
    <t>Marketing / Launch</t>
  </si>
  <si>
    <t>Lean launch campaigns, content, lead generation</t>
  </si>
  <si>
    <t>Sales Department</t>
  </si>
  <si>
    <t>3 reps + sales manager salary baseline</t>
  </si>
  <si>
    <t>Legal / Compliance / Accounting</t>
  </si>
  <si>
    <t>Contracts, incorporation, compliance, accounting</t>
  </si>
  <si>
    <t>Office / Admin / Operations</t>
  </si>
  <si>
    <t>Lean operating/admin setup</t>
  </si>
  <si>
    <t>Reserve</t>
  </si>
  <si>
    <t>Emergency buffer</t>
  </si>
  <si>
    <t>Total Recommended</t>
  </si>
  <si>
    <t>Full Cost Stack Currently Identified</t>
  </si>
  <si>
    <t>Amount ($)</t>
  </si>
  <si>
    <t>CFO Note</t>
  </si>
  <si>
    <t>High-end development estimate</t>
  </si>
  <si>
    <t>Security baseline</t>
  </si>
  <si>
    <t>User-provided full marketing budget</t>
  </si>
  <si>
    <t>Sales salaries baseline</t>
  </si>
  <si>
    <t>User-provided office/admin budget</t>
  </si>
  <si>
    <t>Total Identified Cost</t>
  </si>
  <si>
    <t>Positive number means costs exceed current budget</t>
  </si>
  <si>
    <t>Commission Model - Sales Team + Lebanese Order of Physicians</t>
  </si>
  <si>
    <t>Scenario</t>
  </si>
  <si>
    <t>Year</t>
  </si>
  <si>
    <t>Paying Clinics</t>
  </si>
  <si>
    <t>New Paid Clinics</t>
  </si>
  <si>
    <t>ARPC ($/mo)</t>
  </si>
  <si>
    <t>New ARR ($)</t>
  </si>
  <si>
    <t>Retained ARR ($)</t>
  </si>
  <si>
    <t>Sales Comm. ($)</t>
  </si>
  <si>
    <t>Physicians Comm. ($)</t>
  </si>
  <si>
    <t>Total Commission ($)</t>
  </si>
  <si>
    <t>Net After Commission ($)</t>
  </si>
  <si>
    <t>Conservative</t>
  </si>
  <si>
    <t>Y1</t>
  </si>
  <si>
    <t>Y2</t>
  </si>
  <si>
    <t>Y3</t>
  </si>
  <si>
    <t>Expected</t>
  </si>
  <si>
    <t>Aggressive</t>
  </si>
  <si>
    <t>Commission Notes</t>
  </si>
  <si>
    <t>Sales Team</t>
  </si>
  <si>
    <t>Year 1: 8%-10% of client revenue, divided by Sales Manager between rep and manager. Model uses 10% as a conservative cost assumption.</t>
  </si>
  <si>
    <t>Sales Retention</t>
  </si>
  <si>
    <t>2.5% per year while client remains active.</t>
  </si>
  <si>
    <t>Lebanese Order of Physicians</t>
  </si>
  <si>
    <t>Year 1: 20% commission, potentially divided between Order leadership and doctors.</t>
  </si>
  <si>
    <t>Physicians Retention</t>
  </si>
  <si>
    <t>3-Year Financial Model - Conservative / Expected / Aggressive</t>
  </si>
  <si>
    <t>Metric</t>
  </si>
  <si>
    <t>Cons Y1</t>
  </si>
  <si>
    <t>Cons Y2</t>
  </si>
  <si>
    <t>Cons Y3</t>
  </si>
  <si>
    <t>Exp Y1</t>
  </si>
  <si>
    <t>Exp Y2</t>
  </si>
  <si>
    <t>Exp Y3</t>
  </si>
  <si>
    <t>Agg Y1</t>
  </si>
  <si>
    <t>Agg Y2</t>
  </si>
  <si>
    <t>Agg Y3</t>
  </si>
  <si>
    <t>Active Clinics</t>
  </si>
  <si>
    <t>Market Penetration</t>
  </si>
  <si>
    <t>Subscription Revenue</t>
  </si>
  <si>
    <t>COGS - Infrastructure</t>
  </si>
  <si>
    <t>COGS - Support</t>
  </si>
  <si>
    <t>COGS - Payment Processing</t>
  </si>
  <si>
    <t>Gross Profit</t>
  </si>
  <si>
    <t>Gross Margin</t>
  </si>
  <si>
    <t>Sales &amp; Distribution Commissions</t>
  </si>
  <si>
    <t>Marketing</t>
  </si>
  <si>
    <t>Sales Salaries</t>
  </si>
  <si>
    <t>Development / Cybersecurity</t>
  </si>
  <si>
    <t>EBITDA / Operating Profit</t>
  </si>
  <si>
    <t>Ending Cash Before Financing</t>
  </si>
  <si>
    <t>36-Month Cash Flow Forecast - Expected Case</t>
  </si>
  <si>
    <t>Line Item</t>
  </si>
  <si>
    <t>Beginning Cash</t>
  </si>
  <si>
    <t>Cash In - Funding</t>
  </si>
  <si>
    <t>Cash In - Revenue</t>
  </si>
  <si>
    <t>COGS / Infrastructure / Support</t>
  </si>
  <si>
    <t>Net Monthly Cash Flow</t>
  </si>
  <si>
    <t>Ending Cash</t>
  </si>
  <si>
    <t>Expected Case - 3-Year P&amp;L Forecast</t>
  </si>
  <si>
    <t>Notes</t>
  </si>
  <si>
    <t>Operational scale</t>
  </si>
  <si>
    <t>Year 1 free assumption reflected</t>
  </si>
  <si>
    <t>Weighted ARPC x paid clinics</t>
  </si>
  <si>
    <t>Infra + support + payment fees</t>
  </si>
  <si>
    <t>Sales team + Physicians Order</t>
  </si>
  <si>
    <t>Upfront only</t>
  </si>
  <si>
    <t>Simple 3-Year Balance Sheet - Expected Case</t>
  </si>
  <si>
    <t>Item</t>
  </si>
  <si>
    <t>Cash</t>
  </si>
  <si>
    <t>Ending cash before new financing</t>
  </si>
  <si>
    <t>Software Asset</t>
  </si>
  <si>
    <t>Simplified software asset</t>
  </si>
  <si>
    <t>Total Assets</t>
  </si>
  <si>
    <t>Accounts Payable</t>
  </si>
  <si>
    <t>Placeholder</t>
  </si>
  <si>
    <t>Loans</t>
  </si>
  <si>
    <t>Total Liabilities</t>
  </si>
  <si>
    <t>Founder / Investor Equity</t>
  </si>
  <si>
    <t>Before future fundraising</t>
  </si>
  <si>
    <t>Retained Earnings</t>
  </si>
  <si>
    <t>Cumulative profit/loss</t>
  </si>
  <si>
    <t>Total Equity</t>
  </si>
  <si>
    <t>Balance Check</t>
  </si>
  <si>
    <t>Should be close to 0 after refinement</t>
  </si>
  <si>
    <t>Startup-Appropriate Investor KPIs</t>
  </si>
  <si>
    <t>KPI</t>
  </si>
  <si>
    <t>Pre-Launch Status</t>
  </si>
  <si>
    <t>Y1 Target</t>
  </si>
  <si>
    <t>Y2 Target</t>
  </si>
  <si>
    <t>Y3 Target</t>
  </si>
  <si>
    <t>Product Completion %</t>
  </si>
  <si>
    <t>To track</t>
  </si>
  <si>
    <t>100%</t>
  </si>
  <si>
    <t>Live + stable</t>
  </si>
  <si>
    <t>New versions</t>
  </si>
  <si>
    <t>Pre-launch KPI</t>
  </si>
  <si>
    <t>Security Completion %</t>
  </si>
  <si>
    <t>Ongoing audits</t>
  </si>
  <si>
    <t>Critical healthcare risk</t>
  </si>
  <si>
    <t>Pilot Clinics Signed</t>
  </si>
  <si>
    <t>Validate adoption</t>
  </si>
  <si>
    <t>Expected case</t>
  </si>
  <si>
    <t>Year 1 free reflected</t>
  </si>
  <si>
    <t>MRR</t>
  </si>
  <si>
    <t>Subscription revenue / 12</t>
  </si>
  <si>
    <t>ARR</t>
  </si>
  <si>
    <t>Annual recurring revenue</t>
  </si>
  <si>
    <t>Burn Rate</t>
  </si>
  <si>
    <t>Monthly cash consumption if loss-making</t>
  </si>
  <si>
    <t>Runway</t>
  </si>
  <si>
    <t>Cash / burn rate</t>
  </si>
  <si>
    <t>CAC</t>
  </si>
  <si>
    <t>Not measurable yet</t>
  </si>
  <si>
    <t>Post-launch actual</t>
  </si>
  <si>
    <t>Sales + marketing / new clinics</t>
  </si>
  <si>
    <t>LTV</t>
  </si>
  <si>
    <t>Model after churn data</t>
  </si>
  <si>
    <t>Needs real retention data</t>
  </si>
  <si>
    <t>LTV/CAC</t>
  </si>
  <si>
    <t>Model after CAC data</t>
  </si>
  <si>
    <t>Needs real CAC and retention</t>
  </si>
  <si>
    <t>Churn Rate</t>
  </si>
  <si>
    <t>Replace with actual churn</t>
  </si>
  <si>
    <t>Relevant once revenue begins</t>
  </si>
  <si>
    <t>Revenue per Clinic</t>
  </si>
  <si>
    <t>N/A</t>
  </si>
  <si>
    <t>Risk Register - Investor Mitigation View</t>
  </si>
  <si>
    <t>Risk</t>
  </si>
  <si>
    <t>Investor Concern</t>
  </si>
  <si>
    <t>Probability</t>
  </si>
  <si>
    <t>Impact</t>
  </si>
  <si>
    <t>Mitigation</t>
  </si>
  <si>
    <t>Customer Adoption Risk</t>
  </si>
  <si>
    <t>Clinics may resist switching from old methods</t>
  </si>
  <si>
    <t>Medium</t>
  </si>
  <si>
    <t>High</t>
  </si>
  <si>
    <t>User-friendly product, low pricing, first-year free offer, training, onboarding</t>
  </si>
  <si>
    <t>Sales Execution Risk</t>
  </si>
  <si>
    <t>Failure to acquire clinics at projected pace</t>
  </si>
  <si>
    <t>Sales team + marketing + Lebanese Order of Physicians distribution channel</t>
  </si>
  <si>
    <t>Key Personnel Risk</t>
  </si>
  <si>
    <t>Dependence on founders/critical team</t>
  </si>
  <si>
    <t>Documented processes, partner agreements, clear roles and responsibilities</t>
  </si>
  <si>
    <t>Infrastructure Downtime Risk</t>
  </si>
  <si>
    <t>Service interruption could affect clinic operations</t>
  </si>
  <si>
    <t>Low-Med</t>
  </si>
  <si>
    <t>Technology partner handles infrastructure, cloud, data storage, support, new versions, bug fixes</t>
  </si>
  <si>
    <t>Market Competition Risk</t>
  </si>
  <si>
    <t>Existing clinic software providers</t>
  </si>
  <si>
    <t>Ecosystem approach, localized support, user experience, customization, healthcare network</t>
  </si>
  <si>
    <t>Compliance &amp; Legal Risk</t>
  </si>
  <si>
    <t>Handling sensitive healthcare data</t>
  </si>
  <si>
    <t>Lawyer oversight, data policies, contracts, compliance review</t>
  </si>
  <si>
    <t>Cybersecurity Risk</t>
  </si>
  <si>
    <t>Patient/clinic data breach</t>
  </si>
  <si>
    <t>Very High</t>
  </si>
  <si>
    <t>Cybersecurity team, penetration testing, backups, access control, incident response</t>
  </si>
  <si>
    <t>Use of Funds - Recommended $200,000 Allocation + Identified Funding Gap</t>
  </si>
  <si>
    <t>Funding Gap vs $200k</t>
  </si>
  <si>
    <t>Commissions (15%)</t>
  </si>
  <si>
    <t>Should equal $200,000</t>
  </si>
  <si>
    <t>Free to Paid Conversion Rate From Year 1 to Year 2</t>
  </si>
  <si>
    <t>Clinic Conversion Analysis</t>
  </si>
  <si>
    <t>Free Clinics Acquired</t>
  </si>
  <si>
    <t>Conversion Rate</t>
  </si>
  <si>
    <t>Paying Clinics Year 2</t>
  </si>
  <si>
    <t>Formula: Required Clinics = Target Paying Clinics/ Conversion Rate</t>
  </si>
  <si>
    <t>Acquisition Funnel</t>
  </si>
  <si>
    <t>Clincs</t>
  </si>
  <si>
    <t>Total Market</t>
  </si>
  <si>
    <t>Targeted</t>
  </si>
  <si>
    <t>Meetings Held</t>
  </si>
  <si>
    <t>Demos Given</t>
  </si>
  <si>
    <t>Trial Clinics</t>
  </si>
  <si>
    <t>Signed Clinics</t>
  </si>
  <si>
    <t>Converted to Pay</t>
  </si>
  <si>
    <t>My CFO Recommendation</t>
  </si>
  <si>
    <t xml:space="preserve">Metric </t>
  </si>
  <si>
    <t>Target</t>
  </si>
  <si>
    <t>Signed Clinics Year 1</t>
  </si>
  <si>
    <t>Churn Assumption</t>
  </si>
  <si>
    <t>Safety Buffer</t>
  </si>
  <si>
    <t>1175 - 1200</t>
  </si>
  <si>
    <t>5% - 10%</t>
  </si>
  <si>
    <t>200 Clinics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</si>
</sst>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LBP&quot;* #,##0_);_(&quot;LBP&quot;* \(#,##0\);_(&quot;LBP&quot;* &quot;-&quot;_);_(@_)"/>
    <numFmt numFmtId="41" formatCode="_(* #,##0_);_(* \(#,##0\);_(* &quot;-&quot;_);_(@_)"/>
    <numFmt numFmtId="164" formatCode="0.0%"/>
    <numFmt numFmtId="165" formatCode="\$#,##0;[Red]\(\$#,##0\);\-"/>
    <numFmt numFmtId="166" formatCode="\$#,##0.00"/>
    <numFmt numFmtId="167" formatCode="0.0"/>
    <numFmt numFmtId="171" formatCode="_([$$-409]* #,##0.00_);_([$$-409]* \(#,##0.00\);_([$$-409]* &quot;-&quot;??_);_(@_)"/>
  </numFmts>
  <fonts count="14">
    <font>
      <sz val="11"/>
      <name val="Carlito"/>
    </font>
    <font>
      <b/>
      <sz val="11"/>
      <name val="Carlito"/>
    </font>
    <font>
      <sz val="11"/>
      <color rgb="FF0000FF"/>
      <name val="Carlito"/>
    </font>
    <font>
      <b/>
      <sz val="11"/>
      <color rgb="FFFFFFFF"/>
      <name val="Carlito"/>
    </font>
    <font>
      <b/>
      <sz val="14"/>
      <color rgb="FFFFFFFF"/>
      <name val="Carlito"/>
    </font>
    <font>
      <sz val="11"/>
      <color rgb="FF000000"/>
      <name val="Carlito"/>
    </font>
    <font>
      <sz val="11"/>
      <color rgb="FF008000"/>
      <name val="Carlito"/>
    </font>
    <font>
      <b/>
      <sz val="10"/>
      <color rgb="FFFFFFFF"/>
      <name val="Aptos"/>
    </font>
    <font>
      <sz val="10"/>
      <name val="Aptos"/>
    </font>
    <font>
      <b/>
      <sz val="14"/>
      <color rgb="FFFFFFFF"/>
      <name val="Aptos"/>
    </font>
    <font>
      <sz val="11"/>
      <name val="Carlito"/>
    </font>
    <font>
      <sz val="11"/>
      <color theme="1"/>
      <name val="Carlito"/>
    </font>
    <font>
      <b/>
      <sz val="11"/>
      <color theme="1"/>
      <name val="Carlito"/>
    </font>
    <font>
      <sz val="11"/>
      <color rgb="FF0302FE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2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65D"/>
        <bgColor rgb="FF000000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4">
    <xf numFmtId="0" fontId="0" fillId="0" borderId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9">
    <xf numFmtId="0" fontId="0" fillId="0" borderId="0" xfId="0"/>
    <xf numFmtId="0" fontId="1" fillId="3" borderId="0" xfId="0" applyFont="1" applyFill="1"/>
    <xf numFmtId="0" fontId="2" fillId="0" borderId="0" xfId="0" applyFont="1"/>
    <xf numFmtId="0" fontId="3" fillId="2" borderId="0" xfId="0" applyFont="1" applyFill="1"/>
    <xf numFmtId="0" fontId="2" fillId="4" borderId="0" xfId="0" applyFont="1" applyFill="1"/>
    <xf numFmtId="164" fontId="2" fillId="4" borderId="0" xfId="0" applyNumberFormat="1" applyFont="1" applyFill="1"/>
    <xf numFmtId="165" fontId="2" fillId="4" borderId="0" xfId="0" applyNumberFormat="1" applyFont="1" applyFill="1"/>
    <xf numFmtId="165" fontId="0" fillId="0" borderId="0" xfId="0" applyNumberFormat="1"/>
    <xf numFmtId="164" fontId="0" fillId="0" borderId="0" xfId="0" applyNumberFormat="1"/>
    <xf numFmtId="165" fontId="1" fillId="3" borderId="0" xfId="0" applyNumberFormat="1" applyFont="1" applyFill="1"/>
    <xf numFmtId="164" fontId="1" fillId="3" borderId="0" xfId="0" applyNumberFormat="1" applyFont="1" applyFill="1"/>
    <xf numFmtId="165" fontId="2" fillId="0" borderId="0" xfId="0" applyNumberFormat="1" applyFont="1"/>
    <xf numFmtId="165" fontId="5" fillId="0" borderId="0" xfId="0" applyNumberFormat="1" applyFont="1"/>
    <xf numFmtId="1" fontId="0" fillId="0" borderId="0" xfId="0" applyNumberFormat="1"/>
    <xf numFmtId="166" fontId="0" fillId="0" borderId="0" xfId="0" applyNumberFormat="1"/>
    <xf numFmtId="17" fontId="3" fillId="2" borderId="0" xfId="0" applyNumberFormat="1" applyFont="1" applyFill="1"/>
    <xf numFmtId="165" fontId="3" fillId="2" borderId="0" xfId="0" applyNumberFormat="1" applyFont="1" applyFill="1"/>
    <xf numFmtId="0" fontId="6" fillId="0" borderId="0" xfId="0" applyFont="1"/>
    <xf numFmtId="165" fontId="6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166" fontId="6" fillId="0" borderId="0" xfId="0" applyNumberFormat="1" applyFont="1"/>
    <xf numFmtId="0" fontId="0" fillId="0" borderId="0" xfId="0" applyAlignment="1">
      <alignment wrapText="1"/>
    </xf>
    <xf numFmtId="0" fontId="8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1" fillId="5" borderId="1" xfId="0" applyFont="1" applyFill="1" applyBorder="1"/>
    <xf numFmtId="0" fontId="11" fillId="0" borderId="1" xfId="0" applyFont="1" applyBorder="1"/>
    <xf numFmtId="1" fontId="2" fillId="4" borderId="0" xfId="0" applyNumberFormat="1" applyFont="1" applyFill="1"/>
    <xf numFmtId="171" fontId="2" fillId="4" borderId="0" xfId="0" applyNumberFormat="1" applyFont="1" applyFill="1"/>
    <xf numFmtId="171" fontId="2" fillId="4" borderId="0" xfId="2" applyNumberFormat="1" applyFont="1" applyFill="1"/>
    <xf numFmtId="171" fontId="0" fillId="0" borderId="0" xfId="0" applyNumberFormat="1"/>
    <xf numFmtId="9" fontId="2" fillId="4" borderId="0" xfId="3" applyFont="1" applyFill="1"/>
    <xf numFmtId="9" fontId="13" fillId="6" borderId="0" xfId="3" applyFont="1" applyFill="1"/>
    <xf numFmtId="0" fontId="0" fillId="7" borderId="0" xfId="0" applyFill="1"/>
    <xf numFmtId="0" fontId="12" fillId="3" borderId="1" xfId="0" applyFont="1" applyFill="1" applyBorder="1"/>
    <xf numFmtId="0" fontId="3" fillId="2" borderId="2" xfId="0" applyFont="1" applyFill="1" applyBorder="1"/>
    <xf numFmtId="0" fontId="7" fillId="2" borderId="0" xfId="0" applyFont="1" applyFill="1" applyAlignment="1"/>
    <xf numFmtId="0" fontId="3" fillId="8" borderId="2" xfId="0" applyFont="1" applyFill="1" applyBorder="1"/>
    <xf numFmtId="9" fontId="11" fillId="0" borderId="1" xfId="0" applyNumberFormat="1" applyFont="1" applyBorder="1"/>
    <xf numFmtId="9" fontId="11" fillId="5" borderId="1" xfId="0" applyNumberFormat="1" applyFont="1" applyFill="1" applyBorder="1"/>
    <xf numFmtId="0" fontId="3" fillId="9" borderId="3" xfId="0" applyFont="1" applyFill="1" applyBorder="1"/>
    <xf numFmtId="1" fontId="11" fillId="5" borderId="1" xfId="1" applyNumberFormat="1" applyFont="1" applyFill="1" applyBorder="1"/>
    <xf numFmtId="1" fontId="11" fillId="0" borderId="1" xfId="1" applyNumberFormat="1" applyFont="1" applyBorder="1"/>
    <xf numFmtId="1" fontId="11" fillId="0" borderId="1" xfId="0" applyNumberFormat="1" applyFont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302FE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?>
<ns0:Relationships xmlns:ns0="http://schemas.openxmlformats.org/package/2006/relationships"><ns0:Relationship Id="rId8" Type="http://schemas.openxmlformats.org/officeDocument/2006/relationships/worksheet" Target="worksheets/sheet8.xml" /><ns0:Relationship Id="rId13" Type="http://schemas.openxmlformats.org/officeDocument/2006/relationships/styles" Target="styles.xml" /><ns0:Relationship Id="rId3" Type="http://schemas.openxmlformats.org/officeDocument/2006/relationships/worksheet" Target="worksheets/sheet3.xml" /><ns0:Relationship Id="rId7" Type="http://schemas.openxmlformats.org/officeDocument/2006/relationships/worksheet" Target="worksheets/sheet7.xml" /><ns0:Relationship Id="rId12" Type="http://schemas.openxmlformats.org/officeDocument/2006/relationships/theme" Target="theme/theme1.xml" /><ns0:Relationship Id="rId2" Type="http://schemas.openxmlformats.org/officeDocument/2006/relationships/worksheet" Target="worksheets/sheet2.xml" /><ns0:Relationship Id="rId1" Type="http://schemas.openxmlformats.org/officeDocument/2006/relationships/worksheet" Target="worksheets/sheet1.xml" /><ns0:Relationship Id="rId6" Type="http://schemas.openxmlformats.org/officeDocument/2006/relationships/worksheet" Target="worksheets/sheet6.xml" /><ns0:Relationship Id="rId11" Type="http://schemas.openxmlformats.org/officeDocument/2006/relationships/worksheet" Target="worksheets/sheet11.xml" /><ns0:Relationship Id="rId5" Type="http://schemas.openxmlformats.org/officeDocument/2006/relationships/worksheet" Target="worksheets/sheet5.xml" /><ns0:Relationship Id="rId10" Type="http://schemas.openxmlformats.org/officeDocument/2006/relationships/worksheet" Target="worksheets/sheet10.xml" /><ns0:Relationship Id="rId4" Type="http://schemas.openxmlformats.org/officeDocument/2006/relationships/worksheet" Target="worksheets/sheet4.xml" /><ns0:Relationship Id="rId14" Type="http://schemas.openxmlformats.org/officeDocument/2006/relationships/sharedStrings" Target="sharedStrings.xml" /></ns0: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11981</xdr:rowOff>
    </xdr:from>
    <xdr:to>
      <xdr:col>9</xdr:col>
      <xdr:colOff>23963</xdr:colOff>
      <xdr:row>6</xdr:row>
      <xdr:rowOff>11981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A7F877-3235-EA80-CA7C-77CB60CC4B5B}"/>
            </a:ext>
          </a:extLst>
        </xdr:cNvPr>
        <xdr:cNvSpPr txBox="1"/>
      </xdr:nvSpPr>
      <xdr:spPr>
        <a:xfrm>
          <a:off x="11633679" y="395377"/>
          <a:ext cx="4157454" cy="730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Year</a:t>
          </a:r>
          <a:r>
            <a:rPr lang="en-US" sz="1200" baseline="0"/>
            <a:t> 1 Acquisition Target: 1,200 Clinics </a:t>
          </a:r>
          <a:br>
            <a:rPr lang="en-US" sz="1200" baseline="0"/>
          </a:br>
          <a:r>
            <a:rPr lang="en-US" sz="1200" baseline="0"/>
            <a:t>Expected Conversion: 85% </a:t>
          </a:r>
          <a:br>
            <a:rPr lang="en-US" sz="1200" baseline="0"/>
          </a:br>
          <a:r>
            <a:rPr lang="en-US" sz="1200" baseline="0"/>
            <a:t>Expected paying Cinics Year 2: 1,020 Clinics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ssumptionsTable" displayName="AssumptionsTable" ref="A2:F31">
  <tableColumns count="6">
    <tableColumn id="1" xr3:uid="{00000000-0010-0000-0000-000001000000}" name="Section"/>
    <tableColumn id="2" xr3:uid="{00000000-0010-0000-0000-000002000000}" name="Input"/>
    <tableColumn id="3" xr3:uid="{00000000-0010-0000-0000-000003000000}" name="Value"/>
    <tableColumn id="4" xr3:uid="{00000000-0010-0000-0000-000004000000}" name="Unit"/>
    <tableColumn id="5" xr3:uid="{00000000-0010-0000-0000-000005000000}" name="Source/Comment"/>
    <tableColumn id="6" xr3:uid="{00000000-0010-0000-0000-000006000000}" name="Used I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UseOfFundsTable" displayName="UseOfFundsTable" ref="A2:F10">
  <tableColumns count="6">
    <tableColumn id="1" xr3:uid="{00000000-0010-0000-0100-000001000000}" name="Category"/>
    <tableColumn id="2" xr3:uid="{00000000-0010-0000-0100-000002000000}" name="Planned Budget ($)"/>
    <tableColumn id="3" xr3:uid="{00000000-0010-0000-0100-000003000000}" name="% of Budget"/>
    <tableColumn id="4" xr3:uid="{00000000-0010-0000-0100-000004000000}" name="Actual Spend ($)"/>
    <tableColumn id="5" xr3:uid="{00000000-0010-0000-0100-000005000000}" name="Remaining ($)"/>
    <tableColumn id="6" xr3:uid="{00000000-0010-0000-0100-000006000000}" name="Investor Rational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mmissionTable" displayName="CommissionTable" ref="A2:K11">
  <tableColumns count="11">
    <tableColumn id="1" xr3:uid="{00000000-0010-0000-0200-000001000000}" name="Scenario"/>
    <tableColumn id="2" xr3:uid="{00000000-0010-0000-0200-000002000000}" name="Year"/>
    <tableColumn id="3" xr3:uid="{00000000-0010-0000-0200-000003000000}" name="Paying Clinics"/>
    <tableColumn id="4" xr3:uid="{00000000-0010-0000-0200-000004000000}" name="New Paid Clinics"/>
    <tableColumn id="5" xr3:uid="{00000000-0010-0000-0200-000005000000}" name="ARPC ($/mo)"/>
    <tableColumn id="6" xr3:uid="{00000000-0010-0000-0200-000006000000}" name="New ARR ($)"/>
    <tableColumn id="7" xr3:uid="{00000000-0010-0000-0200-000007000000}" name="Retained ARR ($)"/>
    <tableColumn id="8" xr3:uid="{00000000-0010-0000-0200-000008000000}" name="Sales Comm. ($)"/>
    <tableColumn id="9" xr3:uid="{00000000-0010-0000-0200-000009000000}" name="Physicians Comm. ($)"/>
    <tableColumn id="10" xr3:uid="{00000000-0010-0000-0200-00000A000000}" name="Total Commission ($)"/>
    <tableColumn id="11" xr3:uid="{00000000-0010-0000-0200-00000B000000}" name="Net After Commission ($)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cenariosTable" displayName="ScenariosTable" ref="A2:J19">
  <tableColumns count="10">
    <tableColumn id="1" xr3:uid="{00000000-0010-0000-0300-000001000000}" name="Metric"/>
    <tableColumn id="2" xr3:uid="{00000000-0010-0000-0300-000002000000}" name="Cons Y1"/>
    <tableColumn id="3" xr3:uid="{00000000-0010-0000-0300-000003000000}" name="Cons Y2"/>
    <tableColumn id="4" xr3:uid="{00000000-0010-0000-0300-000004000000}" name="Cons Y3"/>
    <tableColumn id="5" xr3:uid="{00000000-0010-0000-0300-000005000000}" name="Exp Y1"/>
    <tableColumn id="6" xr3:uid="{00000000-0010-0000-0300-000006000000}" name="Exp Y2"/>
    <tableColumn id="7" xr3:uid="{00000000-0010-0000-0300-000007000000}" name="Exp Y3"/>
    <tableColumn id="8" xr3:uid="{00000000-0010-0000-0300-000008000000}" name="Agg Y1"/>
    <tableColumn id="9" xr3:uid="{00000000-0010-0000-0300-000009000000}" name="Agg Y2"/>
    <tableColumn id="10" xr3:uid="{00000000-0010-0000-0300-00000A000000}" name="Agg Y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RiskTable" displayName="RiskTable" ref="A2:E9">
  <tableColumns count="5">
    <tableColumn id="1" xr3:uid="{00000000-0010-0000-0400-000001000000}" name="Risk"/>
    <tableColumn id="2" xr3:uid="{00000000-0010-0000-0400-000002000000}" name="Investor Concern"/>
    <tableColumn id="3" xr3:uid="{00000000-0010-0000-0400-000003000000}" name="Probability"/>
    <tableColumn id="4" xr3:uid="{00000000-0010-0000-0400-000004000000}" name="Impact"/>
    <tableColumn id="5" xr3:uid="{00000000-0010-0000-0400-000005000000}" name="Mitig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zoomScale="168" workbookViewId="0">
      <selection activeCell="B11" sqref="B11"/>
    </sheetView>
  </sheetViews>
  <sheetFormatPr baseColWidth="10" defaultColWidth="8.83203125" defaultRowHeight="14"/>
  <cols>
    <col min="1" max="1" width="24" customWidth="1"/>
    <col min="2" max="2" width="52" customWidth="1"/>
    <col min="5" max="6" width="34" customWidth="1"/>
  </cols>
  <sheetData>
    <row r="1" spans="1:11" ht="15">
      <c r="A1" s="24" t="s">
        <v>0</v>
      </c>
      <c r="B1" s="24"/>
      <c r="C1" s="24"/>
      <c r="D1" s="24"/>
      <c r="E1" s="24"/>
      <c r="F1" s="24"/>
      <c r="G1" s="24"/>
      <c r="H1" s="24"/>
      <c r="I1" s="23"/>
      <c r="J1" s="23"/>
      <c r="K1" s="23"/>
    </row>
    <row r="3" spans="1:11" ht="15">
      <c r="A3" s="1" t="s">
        <v>1</v>
      </c>
      <c r="B3" s="2" t="s">
        <v>2</v>
      </c>
    </row>
    <row r="4" spans="1:11" ht="15">
      <c r="A4" s="1" t="s">
        <v>3</v>
      </c>
      <c r="B4" s="2" t="s">
        <v>4</v>
      </c>
    </row>
    <row r="5" spans="1:11" ht="15">
      <c r="A5" s="1" t="s">
        <v>5</v>
      </c>
      <c r="B5" s="2" t="s">
        <v>6</v>
      </c>
    </row>
    <row r="6" spans="1:11" ht="15">
      <c r="A6" s="1" t="s">
        <v>7</v>
      </c>
      <c r="B6" s="2" t="s">
        <v>8</v>
      </c>
    </row>
    <row r="7" spans="1:11" ht="15">
      <c r="A7" s="1" t="s">
        <v>9</v>
      </c>
      <c r="B7" s="2">
        <v>20000</v>
      </c>
    </row>
    <row r="8" spans="1:11" ht="15">
      <c r="A8" s="1" t="s">
        <v>10</v>
      </c>
      <c r="B8" s="2">
        <v>1000</v>
      </c>
    </row>
    <row r="9" spans="1:11" ht="15">
      <c r="A9" s="1" t="s">
        <v>11</v>
      </c>
      <c r="B9" s="2">
        <v>200000</v>
      </c>
    </row>
    <row r="10" spans="1:11" ht="15">
      <c r="A10" s="1" t="s">
        <v>12</v>
      </c>
      <c r="B10" s="2" t="s">
        <v>13</v>
      </c>
    </row>
    <row r="11" spans="1:11" ht="15">
      <c r="A11" s="1" t="s">
        <v>14</v>
      </c>
      <c r="B11" s="2" t="s">
        <v>15</v>
      </c>
    </row>
    <row r="13" spans="1:11" ht="15">
      <c r="A13" s="3" t="s">
        <v>16</v>
      </c>
      <c r="B13" s="3" t="s">
        <v>17</v>
      </c>
      <c r="C13" s="3"/>
      <c r="D13" s="3"/>
      <c r="E13" s="3"/>
      <c r="F13" s="3"/>
      <c r="G13" s="3"/>
      <c r="H13" s="3"/>
    </row>
    <row r="14" spans="1:11">
      <c r="A14" t="s">
        <v>18</v>
      </c>
      <c r="B14" t="s">
        <v>19</v>
      </c>
    </row>
    <row r="15" spans="1:11">
      <c r="A15" t="s">
        <v>20</v>
      </c>
      <c r="B15" t="s">
        <v>21</v>
      </c>
    </row>
    <row r="16" spans="1:11">
      <c r="A16" t="s">
        <v>22</v>
      </c>
      <c r="B16" t="s">
        <v>23</v>
      </c>
    </row>
    <row r="17" spans="1:2">
      <c r="A17" t="s">
        <v>24</v>
      </c>
      <c r="B17" t="s">
        <v>25</v>
      </c>
    </row>
    <row r="18" spans="1:2">
      <c r="A18" t="s">
        <v>26</v>
      </c>
      <c r="B18" t="s">
        <v>27</v>
      </c>
    </row>
  </sheetData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zoomScale="133" workbookViewId="0">
      <selection activeCell="E26" sqref="E26"/>
    </sheetView>
  </sheetViews>
  <sheetFormatPr baseColWidth="10" defaultColWidth="8.83203125" defaultRowHeight="14"/>
  <cols>
    <col min="1" max="1" width="29.33203125" customWidth="1"/>
    <col min="2" max="2" width="20.33203125" customWidth="1"/>
    <col min="3" max="4" width="18.5" customWidth="1"/>
    <col min="5" max="6" width="34" customWidth="1"/>
  </cols>
  <sheetData>
    <row r="1" spans="1:11" ht="15">
      <c r="A1" s="25" t="s">
        <v>227</v>
      </c>
      <c r="B1" s="25"/>
      <c r="C1" s="25"/>
      <c r="D1" s="25"/>
      <c r="E1" s="25"/>
      <c r="F1" s="25"/>
      <c r="G1" s="23"/>
      <c r="H1" s="23"/>
      <c r="I1" s="23"/>
      <c r="J1" s="23"/>
      <c r="K1" s="23"/>
    </row>
    <row r="2" spans="1:11" ht="15">
      <c r="A2" s="3" t="s">
        <v>228</v>
      </c>
      <c r="B2" s="3" t="s">
        <v>229</v>
      </c>
      <c r="C2" s="3" t="s">
        <v>230</v>
      </c>
      <c r="D2" s="3" t="s">
        <v>231</v>
      </c>
      <c r="E2" s="3" t="s">
        <v>232</v>
      </c>
      <c r="F2" s="3" t="s">
        <v>134</v>
      </c>
    </row>
    <row r="3" spans="1:11">
      <c r="A3" t="s">
        <v>233</v>
      </c>
      <c r="B3" s="17" t="s">
        <v>234</v>
      </c>
      <c r="C3" s="17" t="s">
        <v>235</v>
      </c>
      <c r="D3" s="17" t="s">
        <v>236</v>
      </c>
      <c r="E3" s="17" t="s">
        <v>237</v>
      </c>
      <c r="F3" t="s">
        <v>238</v>
      </c>
    </row>
    <row r="4" spans="1:11">
      <c r="A4" t="s">
        <v>239</v>
      </c>
      <c r="B4" s="17" t="s">
        <v>234</v>
      </c>
      <c r="C4" s="17" t="s">
        <v>235</v>
      </c>
      <c r="D4" s="17" t="s">
        <v>240</v>
      </c>
      <c r="E4" s="17" t="s">
        <v>240</v>
      </c>
      <c r="F4" t="s">
        <v>241</v>
      </c>
    </row>
    <row r="5" spans="1:11">
      <c r="A5" t="s">
        <v>242</v>
      </c>
      <c r="B5" s="17">
        <v>0</v>
      </c>
      <c r="C5" s="17">
        <f>'3Y Scenarios'!E3</f>
        <v>1000</v>
      </c>
      <c r="D5" s="17">
        <f>'3Y Scenarios'!F3</f>
        <v>2000</v>
      </c>
      <c r="E5" s="17">
        <f>'3Y Scenarios'!G3</f>
        <v>3000</v>
      </c>
      <c r="F5" t="s">
        <v>243</v>
      </c>
    </row>
    <row r="6" spans="1:11">
      <c r="A6" t="s">
        <v>179</v>
      </c>
      <c r="B6" s="17">
        <v>0</v>
      </c>
      <c r="C6" s="17">
        <f>'3Y Scenarios'!E3</f>
        <v>1000</v>
      </c>
      <c r="D6" s="17">
        <f>'3Y Scenarios'!F3</f>
        <v>2000</v>
      </c>
      <c r="E6" s="17">
        <f>'3Y Scenarios'!G3</f>
        <v>3000</v>
      </c>
      <c r="F6" t="s">
        <v>244</v>
      </c>
    </row>
    <row r="7" spans="1:11">
      <c r="A7" t="s">
        <v>145</v>
      </c>
      <c r="B7" s="17">
        <v>0</v>
      </c>
      <c r="C7" s="18">
        <f>'3Y Scenarios'!E4</f>
        <v>0</v>
      </c>
      <c r="D7" s="18">
        <f>'3Y Scenarios'!F4</f>
        <v>1000</v>
      </c>
      <c r="E7" s="18">
        <f>'3Y Scenarios'!G4</f>
        <v>2000</v>
      </c>
      <c r="F7" t="s">
        <v>245</v>
      </c>
    </row>
    <row r="8" spans="1:11">
      <c r="A8" t="s">
        <v>246</v>
      </c>
      <c r="B8" s="17">
        <v>0</v>
      </c>
      <c r="C8" s="18">
        <f>'3Y Scenarios'!E6/12</f>
        <v>0</v>
      </c>
      <c r="D8" s="18">
        <f>'3Y Scenarios'!F6/12</f>
        <v>53500</v>
      </c>
      <c r="E8" s="18">
        <f>'3Y Scenarios'!G6/12</f>
        <v>107000</v>
      </c>
      <c r="F8" t="s">
        <v>247</v>
      </c>
    </row>
    <row r="9" spans="1:11">
      <c r="A9" t="s">
        <v>248</v>
      </c>
      <c r="B9" s="17">
        <v>0</v>
      </c>
      <c r="C9" s="18">
        <f>'3Y Scenarios'!E6</f>
        <v>0</v>
      </c>
      <c r="D9" s="18">
        <f>'3Y Scenarios'!F6</f>
        <v>642000</v>
      </c>
      <c r="E9" s="18">
        <f>'3Y Scenarios'!G6</f>
        <v>1284000</v>
      </c>
      <c r="F9" t="s">
        <v>249</v>
      </c>
    </row>
    <row r="10" spans="1:11">
      <c r="A10" t="s">
        <v>250</v>
      </c>
      <c r="B10" s="19">
        <f>Assumptions!$C$3/12</f>
        <v>16666.666666666668</v>
      </c>
      <c r="C10" s="19">
        <f>ABS(MIN('P&amp;L Forecast'!B15,0))/12</f>
        <v>15833.333333333334</v>
      </c>
      <c r="D10" s="19">
        <f>ABS(MIN('P&amp;L Forecast'!C15,0))/12</f>
        <v>0</v>
      </c>
      <c r="E10" s="19">
        <f>ABS(MIN('P&amp;L Forecast'!D15,0))/12</f>
        <v>0</v>
      </c>
      <c r="F10" t="s">
        <v>251</v>
      </c>
    </row>
    <row r="11" spans="1:11">
      <c r="A11" t="s">
        <v>252</v>
      </c>
      <c r="B11" s="19">
        <f>Assumptions!C3/(150000/12)</f>
        <v>16</v>
      </c>
      <c r="C11" s="19">
        <f>IFERROR('3Y Scenarios'!E19/'Investor KPIs'!C10,0)</f>
        <v>26.185657894736842</v>
      </c>
      <c r="D11" s="19">
        <f>IFERROR('3Y Scenarios'!F19/'Investor KPIs'!D10,0)</f>
        <v>0</v>
      </c>
      <c r="E11" s="19">
        <f>IFERROR('3Y Scenarios'!G19/'Investor KPIs'!E10,0)</f>
        <v>0</v>
      </c>
      <c r="F11" t="s">
        <v>253</v>
      </c>
    </row>
    <row r="12" spans="1:11">
      <c r="A12" t="s">
        <v>254</v>
      </c>
      <c r="B12" s="17" t="s">
        <v>255</v>
      </c>
      <c r="C12" s="17" t="s">
        <v>256</v>
      </c>
      <c r="D12" s="17" t="s">
        <v>256</v>
      </c>
      <c r="E12" s="17" t="s">
        <v>256</v>
      </c>
      <c r="F12" t="s">
        <v>257</v>
      </c>
    </row>
    <row r="13" spans="1:11">
      <c r="A13" t="s">
        <v>258</v>
      </c>
      <c r="B13" s="17" t="s">
        <v>255</v>
      </c>
      <c r="C13" s="17" t="s">
        <v>259</v>
      </c>
      <c r="D13" s="17" t="s">
        <v>259</v>
      </c>
      <c r="E13" s="17" t="s">
        <v>259</v>
      </c>
      <c r="F13" t="s">
        <v>260</v>
      </c>
    </row>
    <row r="14" spans="1:11">
      <c r="A14" t="s">
        <v>261</v>
      </c>
      <c r="B14" s="17" t="s">
        <v>255</v>
      </c>
      <c r="C14" s="17" t="s">
        <v>262</v>
      </c>
      <c r="D14" s="17" t="s">
        <v>262</v>
      </c>
      <c r="E14" s="17" t="s">
        <v>262</v>
      </c>
      <c r="F14" t="s">
        <v>263</v>
      </c>
    </row>
    <row r="15" spans="1:11">
      <c r="A15" t="s">
        <v>264</v>
      </c>
      <c r="B15" s="17" t="s">
        <v>255</v>
      </c>
      <c r="C15" s="20">
        <f>Assumptions!$C$16</f>
        <v>0.05</v>
      </c>
      <c r="D15" s="20">
        <f>Assumptions!$C$16</f>
        <v>0.05</v>
      </c>
      <c r="E15" s="20">
        <f>Assumptions!$C$16</f>
        <v>0.05</v>
      </c>
      <c r="F15" t="s">
        <v>265</v>
      </c>
    </row>
    <row r="16" spans="1:11">
      <c r="A16" t="s">
        <v>186</v>
      </c>
      <c r="B16" s="17">
        <v>0</v>
      </c>
      <c r="C16" s="20">
        <f>'3Y Scenarios'!E11</f>
        <v>0</v>
      </c>
      <c r="D16" s="20">
        <f>'3Y Scenarios'!F11</f>
        <v>0.85785046728971959</v>
      </c>
      <c r="E16" s="20">
        <f>'3Y Scenarios'!G11</f>
        <v>0.88588785046728968</v>
      </c>
      <c r="F16" t="s">
        <v>266</v>
      </c>
    </row>
    <row r="17" spans="1:6">
      <c r="A17" t="s">
        <v>267</v>
      </c>
      <c r="B17" s="17" t="s">
        <v>268</v>
      </c>
      <c r="C17" s="21">
        <f>Assumptions!$C$13</f>
        <v>53.5</v>
      </c>
      <c r="D17" s="21">
        <f>Assumptions!$C$13</f>
        <v>53.5</v>
      </c>
      <c r="E17" s="21">
        <f>Assumptions!$C$13</f>
        <v>53.5</v>
      </c>
      <c r="F17" t="s">
        <v>64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workbookViewId="0">
      <selection activeCell="C14" sqref="C14"/>
    </sheetView>
  </sheetViews>
  <sheetFormatPr baseColWidth="10" defaultColWidth="8.83203125" defaultRowHeight="14"/>
  <cols>
    <col min="1" max="1" width="24" customWidth="1"/>
    <col min="2" max="2" width="42.83203125" customWidth="1"/>
    <col min="3" max="3" width="20.6640625" customWidth="1"/>
    <col min="4" max="4" width="16" customWidth="1"/>
    <col min="5" max="5" width="44.5" customWidth="1"/>
    <col min="6" max="6" width="34" customWidth="1"/>
  </cols>
  <sheetData>
    <row r="1" spans="1:11" ht="15">
      <c r="A1" s="25" t="s">
        <v>269</v>
      </c>
      <c r="B1" s="25"/>
      <c r="C1" s="25"/>
      <c r="D1" s="25"/>
      <c r="E1" s="25"/>
      <c r="F1" s="23"/>
      <c r="G1" s="23"/>
      <c r="H1" s="23"/>
      <c r="I1" s="23"/>
      <c r="J1" s="23"/>
      <c r="K1" s="23"/>
    </row>
    <row r="2" spans="1:11" ht="15">
      <c r="A2" s="3" t="s">
        <v>270</v>
      </c>
      <c r="B2" s="3" t="s">
        <v>271</v>
      </c>
      <c r="C2" s="3" t="s">
        <v>272</v>
      </c>
      <c r="D2" s="3" t="s">
        <v>273</v>
      </c>
      <c r="E2" s="3" t="s">
        <v>274</v>
      </c>
    </row>
    <row r="3" spans="1:11" ht="30">
      <c r="A3" s="22" t="s">
        <v>275</v>
      </c>
      <c r="B3" s="22" t="s">
        <v>276</v>
      </c>
      <c r="C3" s="22" t="s">
        <v>277</v>
      </c>
      <c r="D3" s="22" t="s">
        <v>278</v>
      </c>
      <c r="E3" s="22" t="s">
        <v>279</v>
      </c>
    </row>
    <row r="4" spans="1:11" ht="30">
      <c r="A4" s="22" t="s">
        <v>280</v>
      </c>
      <c r="B4" s="22" t="s">
        <v>281</v>
      </c>
      <c r="C4" s="22" t="s">
        <v>277</v>
      </c>
      <c r="D4" s="22" t="s">
        <v>278</v>
      </c>
      <c r="E4" s="22" t="s">
        <v>282</v>
      </c>
    </row>
    <row r="5" spans="1:11" ht="45">
      <c r="A5" s="22" t="s">
        <v>283</v>
      </c>
      <c r="B5" s="22" t="s">
        <v>284</v>
      </c>
      <c r="C5" s="22" t="s">
        <v>277</v>
      </c>
      <c r="D5" s="22" t="s">
        <v>277</v>
      </c>
      <c r="E5" s="22" t="s">
        <v>285</v>
      </c>
    </row>
    <row r="6" spans="1:11" ht="45">
      <c r="A6" s="22" t="s">
        <v>286</v>
      </c>
      <c r="B6" s="22" t="s">
        <v>287</v>
      </c>
      <c r="C6" s="22" t="s">
        <v>288</v>
      </c>
      <c r="D6" s="22" t="s">
        <v>278</v>
      </c>
      <c r="E6" s="22" t="s">
        <v>289</v>
      </c>
    </row>
    <row r="7" spans="1:11" ht="45">
      <c r="A7" s="22" t="s">
        <v>290</v>
      </c>
      <c r="B7" s="22" t="s">
        <v>291</v>
      </c>
      <c r="C7" s="22" t="s">
        <v>277</v>
      </c>
      <c r="D7" s="22" t="s">
        <v>277</v>
      </c>
      <c r="E7" s="22" t="s">
        <v>292</v>
      </c>
    </row>
    <row r="8" spans="1:11" ht="30">
      <c r="A8" s="22" t="s">
        <v>293</v>
      </c>
      <c r="B8" s="22" t="s">
        <v>294</v>
      </c>
      <c r="C8" s="22" t="s">
        <v>277</v>
      </c>
      <c r="D8" s="22" t="s">
        <v>278</v>
      </c>
      <c r="E8" s="22" t="s">
        <v>295</v>
      </c>
    </row>
    <row r="9" spans="1:11" ht="45">
      <c r="A9" s="22" t="s">
        <v>296</v>
      </c>
      <c r="B9" s="22" t="s">
        <v>297</v>
      </c>
      <c r="C9" s="22" t="s">
        <v>277</v>
      </c>
      <c r="D9" s="22" t="s">
        <v>298</v>
      </c>
      <c r="E9" s="22" t="s">
        <v>299</v>
      </c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zoomScale="156" workbookViewId="0">
      <selection activeCell="F34" sqref="F34"/>
    </sheetView>
  </sheetViews>
  <sheetFormatPr baseColWidth="10" defaultColWidth="8.83203125" defaultRowHeight="14"/>
  <cols>
    <col min="1" max="1" width="28.1640625" customWidth="1"/>
    <col min="2" max="2" width="30.33203125" customWidth="1"/>
    <col min="3" max="3" width="17.6640625" customWidth="1"/>
    <col min="4" max="4" width="22.33203125" customWidth="1"/>
    <col min="5" max="5" width="51" customWidth="1"/>
    <col min="6" max="6" width="34" customWidth="1"/>
  </cols>
  <sheetData>
    <row r="1" spans="1:11" ht="15">
      <c r="A1" s="25" t="s">
        <v>28</v>
      </c>
      <c r="B1" s="25"/>
      <c r="C1" s="25"/>
      <c r="D1" s="25"/>
      <c r="E1" s="25"/>
      <c r="F1" s="25"/>
      <c r="G1" s="23"/>
      <c r="H1" s="23"/>
      <c r="I1" s="23"/>
      <c r="J1" s="23"/>
      <c r="K1" s="23"/>
    </row>
    <row r="2" spans="1:11" ht="1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</row>
    <row r="3" spans="1:11">
      <c r="A3" t="s">
        <v>1</v>
      </c>
      <c r="B3" t="s">
        <v>35</v>
      </c>
      <c r="C3" s="31">
        <v>200000</v>
      </c>
      <c r="D3" t="s">
        <v>36</v>
      </c>
      <c r="E3" t="s">
        <v>37</v>
      </c>
      <c r="F3" t="s">
        <v>38</v>
      </c>
    </row>
    <row r="4" spans="1:11">
      <c r="A4" t="s">
        <v>1</v>
      </c>
      <c r="B4" t="s">
        <v>39</v>
      </c>
      <c r="C4" s="6" t="s">
        <v>40</v>
      </c>
      <c r="D4" t="s">
        <v>41</v>
      </c>
      <c r="E4" t="s">
        <v>37</v>
      </c>
      <c r="F4" t="s">
        <v>42</v>
      </c>
    </row>
    <row r="5" spans="1:11">
      <c r="A5" t="s">
        <v>7</v>
      </c>
      <c r="B5" t="s">
        <v>43</v>
      </c>
      <c r="C5" s="30">
        <v>20000</v>
      </c>
      <c r="D5" t="s">
        <v>44</v>
      </c>
      <c r="E5" t="s">
        <v>45</v>
      </c>
      <c r="F5" t="s">
        <v>46</v>
      </c>
    </row>
    <row r="6" spans="1:11">
      <c r="A6" t="s">
        <v>7</v>
      </c>
      <c r="B6" t="s">
        <v>47</v>
      </c>
      <c r="C6" s="30">
        <v>1000</v>
      </c>
      <c r="D6" t="s">
        <v>44</v>
      </c>
      <c r="E6" t="s">
        <v>48</v>
      </c>
      <c r="F6" t="s">
        <v>49</v>
      </c>
    </row>
    <row r="7" spans="1:11">
      <c r="A7" t="s">
        <v>50</v>
      </c>
      <c r="B7" t="s">
        <v>51</v>
      </c>
      <c r="C7" s="32">
        <v>60</v>
      </c>
      <c r="D7" t="s">
        <v>52</v>
      </c>
      <c r="E7" t="s">
        <v>53</v>
      </c>
      <c r="F7" t="s">
        <v>54</v>
      </c>
    </row>
    <row r="8" spans="1:11">
      <c r="A8" t="s">
        <v>50</v>
      </c>
      <c r="B8" t="s">
        <v>55</v>
      </c>
      <c r="C8" s="31">
        <v>55</v>
      </c>
      <c r="D8" t="s">
        <v>52</v>
      </c>
      <c r="E8" t="s">
        <v>53</v>
      </c>
      <c r="F8" t="s">
        <v>54</v>
      </c>
    </row>
    <row r="9" spans="1:11">
      <c r="A9" t="s">
        <v>50</v>
      </c>
      <c r="B9" t="s">
        <v>56</v>
      </c>
      <c r="C9" s="31">
        <v>50</v>
      </c>
      <c r="D9" t="s">
        <v>52</v>
      </c>
      <c r="E9" t="s">
        <v>53</v>
      </c>
      <c r="F9" t="s">
        <v>54</v>
      </c>
    </row>
    <row r="10" spans="1:11">
      <c r="A10" t="s">
        <v>57</v>
      </c>
      <c r="B10" t="s">
        <v>58</v>
      </c>
      <c r="C10" s="34">
        <v>0.2</v>
      </c>
      <c r="D10" t="s">
        <v>59</v>
      </c>
      <c r="E10" t="s">
        <v>60</v>
      </c>
      <c r="F10" t="s">
        <v>61</v>
      </c>
    </row>
    <row r="11" spans="1:11">
      <c r="A11" t="s">
        <v>57</v>
      </c>
      <c r="B11" t="s">
        <v>62</v>
      </c>
      <c r="C11" s="34">
        <v>0.3</v>
      </c>
      <c r="D11" t="s">
        <v>59</v>
      </c>
      <c r="E11" t="s">
        <v>60</v>
      </c>
      <c r="F11" t="s">
        <v>61</v>
      </c>
    </row>
    <row r="12" spans="1:11">
      <c r="A12" t="s">
        <v>57</v>
      </c>
      <c r="B12" t="s">
        <v>63</v>
      </c>
      <c r="C12" s="35">
        <v>0.5</v>
      </c>
      <c r="D12" t="s">
        <v>59</v>
      </c>
      <c r="E12" t="s">
        <v>60</v>
      </c>
      <c r="F12" t="s">
        <v>61</v>
      </c>
    </row>
    <row r="13" spans="1:11">
      <c r="A13" t="s">
        <v>50</v>
      </c>
      <c r="B13" t="s">
        <v>64</v>
      </c>
      <c r="C13" s="31">
        <f>C10*C7+C11*C8+C12*C9</f>
        <v>53.5</v>
      </c>
      <c r="D13" t="s">
        <v>65</v>
      </c>
      <c r="E13" t="s">
        <v>66</v>
      </c>
      <c r="F13" t="s">
        <v>54</v>
      </c>
    </row>
    <row r="14" spans="1:11">
      <c r="A14" t="s">
        <v>67</v>
      </c>
      <c r="B14" t="s">
        <v>68</v>
      </c>
      <c r="C14" s="5">
        <v>1</v>
      </c>
      <c r="D14" t="s">
        <v>69</v>
      </c>
      <c r="E14" t="s">
        <v>70</v>
      </c>
      <c r="F14" t="s">
        <v>71</v>
      </c>
    </row>
    <row r="15" spans="1:11">
      <c r="A15" t="s">
        <v>67</v>
      </c>
      <c r="B15" t="s">
        <v>72</v>
      </c>
      <c r="C15" s="5">
        <v>0.85</v>
      </c>
      <c r="D15" t="s">
        <v>59</v>
      </c>
      <c r="E15" t="s">
        <v>60</v>
      </c>
      <c r="F15" t="s">
        <v>73</v>
      </c>
    </row>
    <row r="16" spans="1:11">
      <c r="A16" t="s">
        <v>74</v>
      </c>
      <c r="B16" t="s">
        <v>75</v>
      </c>
      <c r="C16" s="5">
        <v>0.05</v>
      </c>
      <c r="D16" t="s">
        <v>59</v>
      </c>
      <c r="E16" t="s">
        <v>76</v>
      </c>
      <c r="F16" t="s">
        <v>77</v>
      </c>
    </row>
    <row r="17" spans="1:7">
      <c r="A17" t="s">
        <v>78</v>
      </c>
      <c r="B17" t="s">
        <v>79</v>
      </c>
      <c r="C17" s="5">
        <v>0.6</v>
      </c>
      <c r="D17" t="s">
        <v>59</v>
      </c>
      <c r="E17" t="s">
        <v>80</v>
      </c>
      <c r="F17" t="s">
        <v>81</v>
      </c>
    </row>
    <row r="18" spans="1:7">
      <c r="A18" t="s">
        <v>78</v>
      </c>
      <c r="B18" t="s">
        <v>82</v>
      </c>
      <c r="C18" s="5">
        <v>0.4</v>
      </c>
      <c r="D18" t="s">
        <v>59</v>
      </c>
      <c r="E18" t="s">
        <v>80</v>
      </c>
      <c r="F18" t="s">
        <v>81</v>
      </c>
    </row>
    <row r="19" spans="1:7">
      <c r="A19" t="s">
        <v>83</v>
      </c>
      <c r="B19" t="s">
        <v>84</v>
      </c>
      <c r="C19" s="5">
        <v>0.1</v>
      </c>
      <c r="D19" t="s">
        <v>59</v>
      </c>
      <c r="E19" t="s">
        <v>85</v>
      </c>
      <c r="F19" t="s">
        <v>81</v>
      </c>
    </row>
    <row r="20" spans="1:7">
      <c r="A20" t="s">
        <v>83</v>
      </c>
      <c r="B20" t="s">
        <v>86</v>
      </c>
      <c r="C20" s="5">
        <v>2.5000000000000001E-2</v>
      </c>
      <c r="D20" t="s">
        <v>59</v>
      </c>
      <c r="E20" t="s">
        <v>37</v>
      </c>
      <c r="F20" t="s">
        <v>81</v>
      </c>
    </row>
    <row r="21" spans="1:7">
      <c r="A21" t="s">
        <v>83</v>
      </c>
      <c r="B21" t="s">
        <v>87</v>
      </c>
      <c r="C21" s="5">
        <v>0.2</v>
      </c>
      <c r="D21" t="s">
        <v>59</v>
      </c>
      <c r="E21" t="s">
        <v>37</v>
      </c>
      <c r="F21" t="s">
        <v>81</v>
      </c>
    </row>
    <row r="22" spans="1:7">
      <c r="A22" t="s">
        <v>83</v>
      </c>
      <c r="B22" t="s">
        <v>88</v>
      </c>
      <c r="C22" s="31">
        <v>2.5000000000000001E-2</v>
      </c>
      <c r="D22" t="s">
        <v>59</v>
      </c>
      <c r="E22" t="s">
        <v>37</v>
      </c>
      <c r="F22" t="s">
        <v>81</v>
      </c>
    </row>
    <row r="23" spans="1:7">
      <c r="A23" t="s">
        <v>89</v>
      </c>
      <c r="B23" t="s">
        <v>90</v>
      </c>
      <c r="C23" s="31">
        <v>60000</v>
      </c>
      <c r="D23" t="s">
        <v>36</v>
      </c>
      <c r="E23" t="s">
        <v>91</v>
      </c>
      <c r="F23" t="s">
        <v>20</v>
      </c>
    </row>
    <row r="24" spans="1:7">
      <c r="A24" t="s">
        <v>89</v>
      </c>
      <c r="B24" t="s">
        <v>92</v>
      </c>
      <c r="C24" s="31">
        <v>0</v>
      </c>
      <c r="D24" t="s">
        <v>36</v>
      </c>
      <c r="E24" t="s">
        <v>93</v>
      </c>
      <c r="F24" t="s">
        <v>20</v>
      </c>
    </row>
    <row r="25" spans="1:7">
      <c r="A25" t="s">
        <v>89</v>
      </c>
      <c r="B25" t="s">
        <v>94</v>
      </c>
      <c r="C25" s="31">
        <v>50000</v>
      </c>
      <c r="D25" t="s">
        <v>36</v>
      </c>
      <c r="E25" t="s">
        <v>95</v>
      </c>
      <c r="F25" t="s">
        <v>96</v>
      </c>
    </row>
    <row r="26" spans="1:7">
      <c r="A26" t="s">
        <v>89</v>
      </c>
      <c r="B26" t="s">
        <v>97</v>
      </c>
      <c r="C26" s="31">
        <v>2500</v>
      </c>
      <c r="D26" t="s">
        <v>52</v>
      </c>
      <c r="E26" t="s">
        <v>98</v>
      </c>
      <c r="F26" t="s">
        <v>99</v>
      </c>
    </row>
    <row r="27" spans="1:7">
      <c r="A27" t="s">
        <v>89</v>
      </c>
      <c r="B27" t="s">
        <v>100</v>
      </c>
      <c r="C27" s="31">
        <v>10000</v>
      </c>
      <c r="D27" t="s">
        <v>36</v>
      </c>
      <c r="E27" t="s">
        <v>101</v>
      </c>
      <c r="F27" t="s">
        <v>96</v>
      </c>
    </row>
    <row r="28" spans="1:7">
      <c r="A28" t="s">
        <v>89</v>
      </c>
      <c r="B28" t="s">
        <v>102</v>
      </c>
      <c r="C28" s="31">
        <v>35000</v>
      </c>
      <c r="D28" t="s">
        <v>36</v>
      </c>
      <c r="E28" t="s">
        <v>37</v>
      </c>
      <c r="F28" t="s">
        <v>96</v>
      </c>
    </row>
    <row r="29" spans="1:7">
      <c r="A29" t="s">
        <v>89</v>
      </c>
      <c r="B29" t="s">
        <v>103</v>
      </c>
      <c r="C29" s="31">
        <v>2</v>
      </c>
      <c r="D29" t="s">
        <v>65</v>
      </c>
      <c r="E29" t="s">
        <v>104</v>
      </c>
      <c r="F29" t="s">
        <v>105</v>
      </c>
      <c r="G29" s="36"/>
    </row>
    <row r="30" spans="1:7">
      <c r="A30" t="s">
        <v>89</v>
      </c>
      <c r="B30" t="s">
        <v>106</v>
      </c>
      <c r="C30" s="31">
        <v>1</v>
      </c>
      <c r="D30" t="s">
        <v>65</v>
      </c>
      <c r="E30" t="s">
        <v>107</v>
      </c>
      <c r="F30" t="s">
        <v>105</v>
      </c>
      <c r="G30" s="36"/>
    </row>
    <row r="31" spans="1:7">
      <c r="A31" t="s">
        <v>89</v>
      </c>
      <c r="B31" t="s">
        <v>108</v>
      </c>
      <c r="C31" s="31">
        <v>0.03</v>
      </c>
      <c r="D31" t="s">
        <v>109</v>
      </c>
      <c r="E31" t="s">
        <v>110</v>
      </c>
      <c r="F31" t="s">
        <v>105</v>
      </c>
      <c r="G31" s="36"/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zoomScale="179" workbookViewId="0">
      <selection activeCell="H13" sqref="H13"/>
    </sheetView>
  </sheetViews>
  <sheetFormatPr baseColWidth="10" defaultColWidth="8.83203125" defaultRowHeight="14"/>
  <cols>
    <col min="1" max="1" width="33.33203125" customWidth="1"/>
    <col min="2" max="2" width="15.5" customWidth="1"/>
    <col min="3" max="3" width="13.83203125" customWidth="1"/>
    <col min="4" max="4" width="17" customWidth="1"/>
    <col min="5" max="5" width="34" customWidth="1"/>
    <col min="6" max="6" width="48.5" customWidth="1"/>
  </cols>
  <sheetData>
    <row r="1" spans="1:11" ht="19">
      <c r="A1" s="26" t="s">
        <v>300</v>
      </c>
      <c r="B1" s="26"/>
      <c r="C1" s="26"/>
      <c r="D1" s="26"/>
      <c r="E1" s="26"/>
      <c r="F1" s="26"/>
      <c r="G1" s="23"/>
      <c r="H1" s="23"/>
      <c r="I1" s="23"/>
      <c r="J1" s="23"/>
      <c r="K1" s="23"/>
    </row>
    <row r="2" spans="1:11" ht="15">
      <c r="A2" s="3" t="s">
        <v>111</v>
      </c>
      <c r="B2" s="3" t="s">
        <v>112</v>
      </c>
      <c r="C2" s="3" t="s">
        <v>113</v>
      </c>
      <c r="D2" s="3" t="s">
        <v>114</v>
      </c>
      <c r="E2" s="3" t="s">
        <v>115</v>
      </c>
      <c r="F2" s="3" t="s">
        <v>116</v>
      </c>
    </row>
    <row r="3" spans="1:11">
      <c r="A3" t="s">
        <v>117</v>
      </c>
      <c r="B3" s="11">
        <v>60000</v>
      </c>
      <c r="C3" s="8">
        <f>B3/Assumptions!$C$3</f>
        <v>0.3</v>
      </c>
      <c r="D3" s="6">
        <v>0</v>
      </c>
      <c r="E3" s="7">
        <f t="shared" ref="E3:E9" si="0">B3-D3</f>
        <v>60000</v>
      </c>
      <c r="F3" t="s">
        <v>118</v>
      </c>
    </row>
    <row r="4" spans="1:11">
      <c r="A4" t="s">
        <v>119</v>
      </c>
      <c r="B4" s="11">
        <v>0</v>
      </c>
      <c r="C4" s="8">
        <f>B4/Assumptions!$C$3</f>
        <v>0</v>
      </c>
      <c r="D4" s="6">
        <v>0</v>
      </c>
      <c r="E4" s="7">
        <f t="shared" si="0"/>
        <v>0</v>
      </c>
      <c r="F4" t="s">
        <v>120</v>
      </c>
    </row>
    <row r="5" spans="1:11">
      <c r="A5" t="s">
        <v>121</v>
      </c>
      <c r="B5" s="11">
        <v>25000</v>
      </c>
      <c r="C5" s="8">
        <f>B5/Assumptions!$C$3</f>
        <v>0.125</v>
      </c>
      <c r="D5" s="6">
        <v>0</v>
      </c>
      <c r="E5" s="7">
        <f t="shared" si="0"/>
        <v>25000</v>
      </c>
      <c r="F5" t="s">
        <v>122</v>
      </c>
    </row>
    <row r="6" spans="1:11">
      <c r="A6" t="s">
        <v>123</v>
      </c>
      <c r="B6" s="11">
        <v>30000</v>
      </c>
      <c r="C6" s="8">
        <f>B6/Assumptions!$C$3</f>
        <v>0.15</v>
      </c>
      <c r="D6" s="6">
        <v>0</v>
      </c>
      <c r="E6" s="7">
        <f t="shared" si="0"/>
        <v>30000</v>
      </c>
      <c r="F6" t="s">
        <v>124</v>
      </c>
    </row>
    <row r="7" spans="1:11">
      <c r="A7" t="s">
        <v>125</v>
      </c>
      <c r="B7" s="11">
        <v>10000</v>
      </c>
      <c r="C7" s="8">
        <f>B7/Assumptions!$C$3</f>
        <v>0.05</v>
      </c>
      <c r="D7" s="6">
        <v>0</v>
      </c>
      <c r="E7" s="7">
        <f t="shared" si="0"/>
        <v>10000</v>
      </c>
      <c r="F7" t="s">
        <v>126</v>
      </c>
    </row>
    <row r="8" spans="1:11">
      <c r="A8" t="s">
        <v>127</v>
      </c>
      <c r="B8" s="11">
        <v>35000</v>
      </c>
      <c r="C8" s="8">
        <f>B8/Assumptions!$C$3</f>
        <v>0.17499999999999999</v>
      </c>
      <c r="D8" s="6">
        <v>0</v>
      </c>
      <c r="E8" s="7">
        <f t="shared" si="0"/>
        <v>35000</v>
      </c>
      <c r="F8" t="s">
        <v>128</v>
      </c>
    </row>
    <row r="9" spans="1:11">
      <c r="A9" t="s">
        <v>129</v>
      </c>
      <c r="B9" s="12">
        <v>15000</v>
      </c>
      <c r="C9" s="8">
        <f>B9/Assumptions!$C$3</f>
        <v>7.4999999999999997E-2</v>
      </c>
      <c r="D9" s="6">
        <v>0</v>
      </c>
      <c r="E9" s="7">
        <f t="shared" si="0"/>
        <v>15000</v>
      </c>
      <c r="F9" t="s">
        <v>130</v>
      </c>
    </row>
    <row r="10" spans="1:11" ht="15">
      <c r="A10" t="s">
        <v>131</v>
      </c>
      <c r="B10" s="9">
        <f>SUM(B3:B9)</f>
        <v>175000</v>
      </c>
      <c r="C10" s="10">
        <f>B10/Assumptions!$C$3</f>
        <v>0.875</v>
      </c>
      <c r="D10" s="9">
        <f>SUM(D3:D9)</f>
        <v>0</v>
      </c>
      <c r="E10" s="9">
        <f>SUM(E3:E9)</f>
        <v>175000</v>
      </c>
      <c r="F10" s="1" t="s">
        <v>303</v>
      </c>
    </row>
    <row r="12" spans="1:11" ht="15">
      <c r="A12" s="3" t="s">
        <v>132</v>
      </c>
      <c r="B12" s="3" t="s">
        <v>133</v>
      </c>
      <c r="C12" s="3" t="s">
        <v>113</v>
      </c>
      <c r="D12" s="3"/>
      <c r="E12" s="3"/>
      <c r="F12" s="3" t="s">
        <v>134</v>
      </c>
    </row>
    <row r="13" spans="1:11">
      <c r="A13" t="s">
        <v>117</v>
      </c>
      <c r="B13" s="7">
        <v>60000</v>
      </c>
      <c r="C13" s="8">
        <f>B13/Assumptions!$C$3</f>
        <v>0.3</v>
      </c>
      <c r="F13" t="s">
        <v>135</v>
      </c>
    </row>
    <row r="14" spans="1:11">
      <c r="A14" t="s">
        <v>119</v>
      </c>
      <c r="B14" s="7">
        <v>0</v>
      </c>
      <c r="C14" s="8">
        <f>B14/Assumptions!$C$3</f>
        <v>0</v>
      </c>
      <c r="F14" t="s">
        <v>136</v>
      </c>
    </row>
    <row r="15" spans="1:11">
      <c r="A15" t="s">
        <v>121</v>
      </c>
      <c r="B15" s="7">
        <v>50000</v>
      </c>
      <c r="C15" s="8">
        <f>B15/Assumptions!$C$3</f>
        <v>0.25</v>
      </c>
      <c r="F15" t="s">
        <v>137</v>
      </c>
    </row>
    <row r="16" spans="1:11">
      <c r="A16" t="s">
        <v>123</v>
      </c>
      <c r="B16" s="7">
        <v>30000</v>
      </c>
      <c r="C16" s="8">
        <f>B16/Assumptions!$C$3</f>
        <v>0.15</v>
      </c>
      <c r="F16" t="s">
        <v>138</v>
      </c>
    </row>
    <row r="17" spans="1:6">
      <c r="A17" t="s">
        <v>125</v>
      </c>
      <c r="B17" s="7">
        <v>10000</v>
      </c>
      <c r="C17" s="8">
        <f>B17/Assumptions!$C$3</f>
        <v>0.05</v>
      </c>
      <c r="F17" t="s">
        <v>101</v>
      </c>
    </row>
    <row r="18" spans="1:6">
      <c r="A18" t="s">
        <v>127</v>
      </c>
      <c r="B18" s="7">
        <v>35000</v>
      </c>
      <c r="C18" s="8">
        <f>B18/Assumptions!$C$3</f>
        <v>0.17499999999999999</v>
      </c>
      <c r="F18" t="s">
        <v>139</v>
      </c>
    </row>
    <row r="19" spans="1:6" ht="15">
      <c r="A19" t="s">
        <v>140</v>
      </c>
      <c r="B19" s="9">
        <f>SUM(B13:B18)</f>
        <v>185000</v>
      </c>
      <c r="C19" s="10">
        <f>B19/Assumptions!$C$3</f>
        <v>0.92500000000000004</v>
      </c>
      <c r="D19" s="1"/>
      <c r="E19" s="1"/>
      <c r="F19" s="1"/>
    </row>
    <row r="20" spans="1:6" ht="15">
      <c r="A20" t="s">
        <v>301</v>
      </c>
      <c r="B20" s="9">
        <f>B19-Assumptions!$C$3</f>
        <v>-15000</v>
      </c>
      <c r="C20" s="10">
        <f>B20/Assumptions!$C$3</f>
        <v>-7.4999999999999997E-2</v>
      </c>
      <c r="D20" s="1"/>
      <c r="E20" s="1"/>
      <c r="F20" s="1" t="s">
        <v>141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zoomScale="137" workbookViewId="0">
      <selection activeCell="K2" sqref="K1:K1048576"/>
    </sheetView>
  </sheetViews>
  <sheetFormatPr baseColWidth="10" defaultColWidth="8.83203125" defaultRowHeight="14"/>
  <cols>
    <col min="1" max="1" width="24" customWidth="1"/>
    <col min="2" max="2" width="110.83203125" customWidth="1"/>
    <col min="3" max="3" width="17.83203125" customWidth="1"/>
    <col min="4" max="4" width="21" customWidth="1"/>
    <col min="5" max="6" width="34" customWidth="1"/>
    <col min="7" max="7" width="20.1640625" customWidth="1"/>
    <col min="8" max="8" width="18.83203125" customWidth="1"/>
    <col min="9" max="9" width="25" customWidth="1"/>
    <col min="10" max="10" width="21.6640625" customWidth="1"/>
    <col min="11" max="11" width="28.5" customWidth="1"/>
  </cols>
  <sheetData>
    <row r="1" spans="1:11" ht="15">
      <c r="A1" s="25" t="s">
        <v>142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5">
      <c r="A2" s="3" t="s">
        <v>143</v>
      </c>
      <c r="B2" s="3" t="s">
        <v>144</v>
      </c>
      <c r="C2" s="3" t="s">
        <v>145</v>
      </c>
      <c r="D2" s="3" t="s">
        <v>146</v>
      </c>
      <c r="E2" s="3" t="s">
        <v>147</v>
      </c>
      <c r="F2" s="3" t="s">
        <v>148</v>
      </c>
      <c r="G2" s="3" t="s">
        <v>149</v>
      </c>
      <c r="H2" s="3" t="s">
        <v>150</v>
      </c>
      <c r="I2" s="3" t="s">
        <v>151</v>
      </c>
      <c r="J2" s="3" t="s">
        <v>152</v>
      </c>
      <c r="K2" s="3" t="s">
        <v>153</v>
      </c>
    </row>
    <row r="3" spans="1:11">
      <c r="A3" t="s">
        <v>154</v>
      </c>
      <c r="B3" t="s">
        <v>155</v>
      </c>
      <c r="C3" s="13">
        <v>0</v>
      </c>
      <c r="D3" s="13">
        <f>C3</f>
        <v>0</v>
      </c>
      <c r="E3" s="14">
        <f>Assumptions!$C$13</f>
        <v>53.5</v>
      </c>
      <c r="F3" s="7">
        <f t="shared" ref="F3:F11" si="0">D3*E3*12</f>
        <v>0</v>
      </c>
      <c r="G3" s="7">
        <f>0</f>
        <v>0</v>
      </c>
      <c r="H3" s="7">
        <f>F3*Assumptions!$C$17*Assumptions!$C$19 + G3*Assumptions!$C$17*Assumptions!$C$20</f>
        <v>0</v>
      </c>
      <c r="I3" s="7">
        <f>F3*Assumptions!$C$18*Assumptions!$C$21 + G3*Assumptions!$C$18*Assumptions!$C$22</f>
        <v>0</v>
      </c>
      <c r="J3" s="7">
        <f t="shared" ref="J3:J11" si="1">H3+I3</f>
        <v>0</v>
      </c>
      <c r="K3" s="7">
        <f t="shared" ref="K3:K11" si="2">F3+G3-J3</f>
        <v>0</v>
      </c>
    </row>
    <row r="4" spans="1:11">
      <c r="A4" t="s">
        <v>154</v>
      </c>
      <c r="B4" t="s">
        <v>156</v>
      </c>
      <c r="C4" s="13">
        <v>500</v>
      </c>
      <c r="D4" s="13">
        <f>MAX(C4-C3,0)</f>
        <v>500</v>
      </c>
      <c r="E4" s="14">
        <f>Assumptions!$C$13</f>
        <v>53.5</v>
      </c>
      <c r="F4" s="7">
        <f t="shared" si="0"/>
        <v>321000</v>
      </c>
      <c r="G4" s="7">
        <f>MAX(C3*(1-Assumptions!$C$16)*E4*12,0)</f>
        <v>0</v>
      </c>
      <c r="H4" s="7">
        <f>F4*Assumptions!$C$17*Assumptions!$C$19 + G4*Assumptions!$C$17*Assumptions!$C$20</f>
        <v>19260</v>
      </c>
      <c r="I4" s="7">
        <f>F4*Assumptions!$C$18*Assumptions!$C$21 + G4*Assumptions!$C$18*Assumptions!$C$22</f>
        <v>25680</v>
      </c>
      <c r="J4" s="7">
        <f t="shared" si="1"/>
        <v>44940</v>
      </c>
      <c r="K4" s="7">
        <f t="shared" si="2"/>
        <v>276060</v>
      </c>
    </row>
    <row r="5" spans="1:11">
      <c r="A5" t="s">
        <v>154</v>
      </c>
      <c r="B5" t="s">
        <v>157</v>
      </c>
      <c r="C5" s="13">
        <v>1000</v>
      </c>
      <c r="D5" s="13">
        <f>MAX(C5-C4,0)</f>
        <v>500</v>
      </c>
      <c r="E5" s="14">
        <f>Assumptions!$C$13</f>
        <v>53.5</v>
      </c>
      <c r="F5" s="7">
        <f t="shared" si="0"/>
        <v>321000</v>
      </c>
      <c r="G5" s="7">
        <f>MAX(C4*(1-Assumptions!$C$16)*E5*12,0)</f>
        <v>304950</v>
      </c>
      <c r="H5" s="7">
        <f>F5*Assumptions!$C$17*Assumptions!$C$19 + G5*Assumptions!$C$17*Assumptions!$C$20</f>
        <v>23834.25</v>
      </c>
      <c r="I5" s="7">
        <f>F5*Assumptions!$C$18*Assumptions!$C$21 + G5*Assumptions!$C$18*Assumptions!$C$22</f>
        <v>28729.5</v>
      </c>
      <c r="J5" s="7">
        <f t="shared" si="1"/>
        <v>52563.75</v>
      </c>
      <c r="K5" s="7">
        <f t="shared" si="2"/>
        <v>573386.25</v>
      </c>
    </row>
    <row r="6" spans="1:11">
      <c r="A6" t="s">
        <v>158</v>
      </c>
      <c r="B6" t="s">
        <v>155</v>
      </c>
      <c r="C6" s="13">
        <v>0</v>
      </c>
      <c r="D6" s="13">
        <f>C6</f>
        <v>0</v>
      </c>
      <c r="E6" s="14">
        <f>Assumptions!$C$13</f>
        <v>53.5</v>
      </c>
      <c r="F6" s="7">
        <f t="shared" si="0"/>
        <v>0</v>
      </c>
      <c r="G6" s="7">
        <f>0</f>
        <v>0</v>
      </c>
      <c r="H6" s="7">
        <f>F6*Assumptions!$C$17*Assumptions!$C$19 + G6*Assumptions!$C$17*Assumptions!$C$20</f>
        <v>0</v>
      </c>
      <c r="I6" s="7">
        <f>F6*Assumptions!$C$18*Assumptions!$C$21 + G6*Assumptions!$C$18*Assumptions!$C$22</f>
        <v>0</v>
      </c>
      <c r="J6" s="7">
        <f t="shared" si="1"/>
        <v>0</v>
      </c>
      <c r="K6" s="7">
        <f t="shared" si="2"/>
        <v>0</v>
      </c>
    </row>
    <row r="7" spans="1:11">
      <c r="A7" t="s">
        <v>158</v>
      </c>
      <c r="B7" t="s">
        <v>156</v>
      </c>
      <c r="C7" s="13">
        <v>1000</v>
      </c>
      <c r="D7" s="13">
        <f>MAX(C7-C6,0)</f>
        <v>1000</v>
      </c>
      <c r="E7" s="14">
        <f>Assumptions!$C$13</f>
        <v>53.5</v>
      </c>
      <c r="F7" s="7">
        <f t="shared" si="0"/>
        <v>642000</v>
      </c>
      <c r="G7" s="7">
        <f>MAX(C6*(1-Assumptions!$C$16)*E7*12,0)</f>
        <v>0</v>
      </c>
      <c r="H7" s="7">
        <f>F7*Assumptions!$C$17*Assumptions!$C$19 + G7*Assumptions!$C$17*Assumptions!$C$20</f>
        <v>38520</v>
      </c>
      <c r="I7" s="7">
        <f>F7*Assumptions!$C$18*Assumptions!$C$21 + G7*Assumptions!$C$18*Assumptions!$C$22</f>
        <v>51360</v>
      </c>
      <c r="J7" s="7">
        <f t="shared" si="1"/>
        <v>89880</v>
      </c>
      <c r="K7" s="7">
        <f t="shared" si="2"/>
        <v>552120</v>
      </c>
    </row>
    <row r="8" spans="1:11">
      <c r="A8" t="s">
        <v>158</v>
      </c>
      <c r="B8" t="s">
        <v>157</v>
      </c>
      <c r="C8" s="13">
        <v>2000</v>
      </c>
      <c r="D8" s="13">
        <f>MAX(C8-C7,0)</f>
        <v>1000</v>
      </c>
      <c r="E8" s="14">
        <f>Assumptions!$C$13</f>
        <v>53.5</v>
      </c>
      <c r="F8" s="7">
        <f t="shared" si="0"/>
        <v>642000</v>
      </c>
      <c r="G8" s="7">
        <f>MAX(C7*(1-Assumptions!$C$16)*E8*12,0)</f>
        <v>609900</v>
      </c>
      <c r="H8" s="7">
        <f>F8*Assumptions!$C$17*Assumptions!$C$19 + G8*Assumptions!$C$17*Assumptions!$C$20</f>
        <v>47668.5</v>
      </c>
      <c r="I8" s="7">
        <f>F8*Assumptions!$C$18*Assumptions!$C$21 + G8*Assumptions!$C$18*Assumptions!$C$22</f>
        <v>57459</v>
      </c>
      <c r="J8" s="7">
        <f t="shared" si="1"/>
        <v>105127.5</v>
      </c>
      <c r="K8" s="7">
        <f t="shared" si="2"/>
        <v>1146772.5</v>
      </c>
    </row>
    <row r="9" spans="1:11">
      <c r="A9" t="s">
        <v>159</v>
      </c>
      <c r="B9" t="s">
        <v>155</v>
      </c>
      <c r="C9" s="13">
        <v>0</v>
      </c>
      <c r="D9" s="13">
        <f>C9</f>
        <v>0</v>
      </c>
      <c r="E9" s="14">
        <f>Assumptions!$C$13</f>
        <v>53.5</v>
      </c>
      <c r="F9" s="7">
        <f t="shared" si="0"/>
        <v>0</v>
      </c>
      <c r="G9" s="7">
        <f>0</f>
        <v>0</v>
      </c>
      <c r="H9" s="7">
        <f>F9*Assumptions!$C$17*Assumptions!$C$19 + G9*Assumptions!$C$17*Assumptions!$C$20</f>
        <v>0</v>
      </c>
      <c r="I9" s="7">
        <f>F9*Assumptions!$C$18*Assumptions!$C$21 + G9*Assumptions!$C$18*Assumptions!$C$22</f>
        <v>0</v>
      </c>
      <c r="J9" s="7">
        <f t="shared" si="1"/>
        <v>0</v>
      </c>
      <c r="K9" s="7">
        <f t="shared" si="2"/>
        <v>0</v>
      </c>
    </row>
    <row r="10" spans="1:11">
      <c r="A10" t="s">
        <v>159</v>
      </c>
      <c r="B10" t="s">
        <v>156</v>
      </c>
      <c r="C10" s="13">
        <v>2000</v>
      </c>
      <c r="D10" s="13">
        <f>MAX(C10-C9,0)</f>
        <v>2000</v>
      </c>
      <c r="E10" s="14">
        <f>Assumptions!$C$13</f>
        <v>53.5</v>
      </c>
      <c r="F10" s="7">
        <f t="shared" si="0"/>
        <v>1284000</v>
      </c>
      <c r="G10" s="7">
        <f>MAX(C9*(1-Assumptions!$C$16)*E10*12,0)</f>
        <v>0</v>
      </c>
      <c r="H10" s="7">
        <f>F10*Assumptions!$C$17*Assumptions!$C$19 + G10*Assumptions!$C$17*Assumptions!$C$20</f>
        <v>77040</v>
      </c>
      <c r="I10" s="7">
        <f>F10*Assumptions!$C$18*Assumptions!$C$21 + G10*Assumptions!$C$18*Assumptions!$C$22</f>
        <v>102720</v>
      </c>
      <c r="J10" s="7">
        <f t="shared" si="1"/>
        <v>179760</v>
      </c>
      <c r="K10" s="7">
        <f t="shared" si="2"/>
        <v>1104240</v>
      </c>
    </row>
    <row r="11" spans="1:11">
      <c r="A11" t="s">
        <v>159</v>
      </c>
      <c r="B11" t="s">
        <v>157</v>
      </c>
      <c r="C11" s="13">
        <v>4000</v>
      </c>
      <c r="D11" s="13">
        <f>MAX(C11-C10,0)</f>
        <v>2000</v>
      </c>
      <c r="E11" s="14">
        <f>Assumptions!$C$13</f>
        <v>53.5</v>
      </c>
      <c r="F11" s="7">
        <f t="shared" si="0"/>
        <v>1284000</v>
      </c>
      <c r="G11" s="7">
        <f>MAX(C10*(1-Assumptions!$C$16)*E11*12,0)</f>
        <v>1219800</v>
      </c>
      <c r="H11" s="7">
        <f>F11*Assumptions!$C$17*Assumptions!$C$19 + G11*Assumptions!$C$17*Assumptions!$C$20</f>
        <v>95337</v>
      </c>
      <c r="I11" s="7">
        <f>F11*Assumptions!$C$18*Assumptions!$C$21 + G11*Assumptions!$C$18*Assumptions!$C$22</f>
        <v>114918</v>
      </c>
      <c r="J11" s="7">
        <f t="shared" si="1"/>
        <v>210255</v>
      </c>
      <c r="K11" s="7">
        <f t="shared" si="2"/>
        <v>2293545</v>
      </c>
    </row>
    <row r="13" spans="1:11" ht="15">
      <c r="A13" s="3" t="s">
        <v>160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t="s">
        <v>161</v>
      </c>
      <c r="B14" t="s">
        <v>162</v>
      </c>
    </row>
    <row r="15" spans="1:11">
      <c r="A15" t="s">
        <v>163</v>
      </c>
      <c r="B15" t="s">
        <v>164</v>
      </c>
    </row>
    <row r="16" spans="1:11">
      <c r="A16" t="s">
        <v>165</v>
      </c>
      <c r="B16" t="s">
        <v>166</v>
      </c>
    </row>
    <row r="17" spans="1:2">
      <c r="A17" t="s">
        <v>167</v>
      </c>
      <c r="B17" t="s">
        <v>164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535D-6D24-1748-AECF-AAEFD559C3E7}">
  <dimension ref="A1:J26"/>
  <sheetViews>
    <sheetView tabSelected="1" zoomScale="106" workbookViewId="0">
      <selection activeCell="B25" sqref="B25"/>
    </sheetView>
  </sheetViews>
  <sheetFormatPr baseColWidth="10" defaultRowHeight="14"/>
  <cols>
    <col min="1" max="1" width="59.5" customWidth="1"/>
    <col min="2" max="2" width="29.5" customWidth="1"/>
    <col min="3" max="3" width="29.1640625" customWidth="1"/>
    <col min="4" max="4" width="34.5" customWidth="1"/>
  </cols>
  <sheetData>
    <row r="1" spans="1:10" ht="15">
      <c r="A1" s="39" t="s">
        <v>304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>
      <c r="A2" s="39" t="s">
        <v>305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">
      <c r="A3" s="38" t="s">
        <v>143</v>
      </c>
      <c r="B3" s="38" t="s">
        <v>306</v>
      </c>
      <c r="C3" s="38" t="s">
        <v>307</v>
      </c>
      <c r="D3" s="38" t="s">
        <v>308</v>
      </c>
      <c r="E3" s="40"/>
    </row>
    <row r="4" spans="1:10">
      <c r="A4" s="29" t="s">
        <v>154</v>
      </c>
      <c r="B4" s="45">
        <f>D4/C4</f>
        <v>1428.5714285714287</v>
      </c>
      <c r="C4" s="41">
        <v>0.7</v>
      </c>
      <c r="D4" s="45">
        <v>1000</v>
      </c>
    </row>
    <row r="5" spans="1:10">
      <c r="A5" s="28" t="s">
        <v>158</v>
      </c>
      <c r="B5" s="44">
        <f>D5/C5</f>
        <v>1176.4705882352941</v>
      </c>
      <c r="C5" s="42">
        <v>0.85</v>
      </c>
      <c r="D5" s="44">
        <v>1000</v>
      </c>
    </row>
    <row r="6" spans="1:10">
      <c r="A6" s="29" t="s">
        <v>159</v>
      </c>
      <c r="B6" s="45">
        <f>D6/C6</f>
        <v>1052.6315789473686</v>
      </c>
      <c r="C6" s="41">
        <v>0.95</v>
      </c>
      <c r="D6" s="45">
        <v>1000</v>
      </c>
    </row>
    <row r="7" spans="1:10">
      <c r="A7" s="28" t="s">
        <v>309</v>
      </c>
      <c r="B7" s="28"/>
      <c r="C7" s="28"/>
      <c r="D7" s="28"/>
    </row>
    <row r="8" spans="1:10">
      <c r="A8" s="29"/>
      <c r="B8" s="29"/>
      <c r="C8" s="29"/>
      <c r="D8" s="29"/>
    </row>
    <row r="9" spans="1:10" ht="15">
      <c r="A9" s="38" t="s">
        <v>310</v>
      </c>
      <c r="B9" s="39"/>
      <c r="C9" s="39"/>
      <c r="D9" s="39"/>
    </row>
    <row r="10" spans="1:10" ht="15">
      <c r="A10" s="38" t="s">
        <v>3</v>
      </c>
      <c r="B10" s="43" t="s">
        <v>311</v>
      </c>
      <c r="C10" s="39"/>
      <c r="D10" s="39"/>
    </row>
    <row r="11" spans="1:10">
      <c r="A11" s="28" t="s">
        <v>312</v>
      </c>
      <c r="B11" s="44">
        <v>20000</v>
      </c>
      <c r="C11" s="28"/>
      <c r="D11" s="28"/>
    </row>
    <row r="12" spans="1:10">
      <c r="A12" s="29" t="s">
        <v>313</v>
      </c>
      <c r="B12" s="45">
        <v>2500</v>
      </c>
      <c r="C12" s="29"/>
      <c r="D12" s="29"/>
    </row>
    <row r="13" spans="1:10">
      <c r="A13" s="28" t="s">
        <v>314</v>
      </c>
      <c r="B13" s="44">
        <v>2000</v>
      </c>
      <c r="C13" s="28"/>
      <c r="D13" s="28"/>
    </row>
    <row r="14" spans="1:10">
      <c r="A14" s="29" t="s">
        <v>315</v>
      </c>
      <c r="B14" s="45">
        <v>1500</v>
      </c>
      <c r="C14" s="29"/>
      <c r="D14" s="29"/>
    </row>
    <row r="15" spans="1:10">
      <c r="A15" s="28" t="s">
        <v>316</v>
      </c>
      <c r="B15" s="44">
        <v>1250</v>
      </c>
      <c r="C15" s="28"/>
      <c r="D15" s="28"/>
    </row>
    <row r="16" spans="1:10">
      <c r="A16" s="29" t="s">
        <v>317</v>
      </c>
      <c r="B16" s="44">
        <v>1200</v>
      </c>
      <c r="C16" s="29"/>
      <c r="D16" s="29"/>
    </row>
    <row r="17" spans="1:4">
      <c r="A17" s="28" t="s">
        <v>318</v>
      </c>
      <c r="B17" s="44">
        <v>1020</v>
      </c>
      <c r="C17" s="28"/>
      <c r="D17" s="28"/>
    </row>
    <row r="18" spans="1:4" ht="15">
      <c r="A18" s="37"/>
      <c r="B18" s="37"/>
      <c r="C18" s="37"/>
      <c r="D18" s="37"/>
    </row>
    <row r="19" spans="1:4" ht="15">
      <c r="A19" s="38" t="s">
        <v>319</v>
      </c>
      <c r="B19" s="38"/>
      <c r="C19" s="39"/>
      <c r="D19" s="39"/>
    </row>
    <row r="20" spans="1:4" ht="15">
      <c r="A20" s="38" t="s">
        <v>320</v>
      </c>
      <c r="B20" s="38" t="s">
        <v>321</v>
      </c>
      <c r="C20" s="39"/>
      <c r="D20" s="39"/>
    </row>
    <row r="21" spans="1:4">
      <c r="A21" s="29" t="s">
        <v>322</v>
      </c>
      <c r="B21" s="46" t="s">
        <v>325</v>
      </c>
      <c r="C21" s="29"/>
      <c r="D21" s="29"/>
    </row>
    <row r="22" spans="1:4">
      <c r="A22" s="28" t="s">
        <v>307</v>
      </c>
      <c r="B22" s="42">
        <v>0.85</v>
      </c>
      <c r="C22" s="28"/>
      <c r="D22" s="28"/>
    </row>
    <row r="23" spans="1:4">
      <c r="A23" s="29" t="s">
        <v>308</v>
      </c>
      <c r="B23" s="29">
        <v>1020</v>
      </c>
      <c r="C23" s="29"/>
      <c r="D23" s="29"/>
    </row>
    <row r="24" spans="1:4">
      <c r="A24" s="28" t="s">
        <v>323</v>
      </c>
      <c r="B24" s="47" t="s">
        <v>326</v>
      </c>
      <c r="C24" s="28"/>
      <c r="D24" s="28"/>
    </row>
    <row r="25" spans="1:4">
      <c r="A25" s="29" t="s">
        <v>324</v>
      </c>
      <c r="B25" s="48" t="s">
        <v>327</v>
      </c>
      <c r="C25" s="29"/>
      <c r="D25" s="29"/>
    </row>
    <row r="26" spans="1:4">
      <c r="A26" s="28"/>
      <c r="B26" s="28"/>
      <c r="C26" s="28"/>
      <c r="D26" s="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9"/>
  <sheetViews>
    <sheetView zoomScale="125" workbookViewId="0">
      <selection activeCell="B2" sqref="B2"/>
    </sheetView>
  </sheetViews>
  <sheetFormatPr baseColWidth="10" defaultColWidth="8.83203125" defaultRowHeight="14"/>
  <cols>
    <col min="1" max="1" width="25.83203125" customWidth="1"/>
    <col min="2" max="10" width="18.33203125" customWidth="1"/>
  </cols>
  <sheetData>
    <row r="1" spans="1:11" ht="15">
      <c r="A1" s="25" t="s">
        <v>168</v>
      </c>
      <c r="B1" s="25"/>
      <c r="C1" s="25"/>
      <c r="D1" s="25"/>
      <c r="E1" s="25"/>
      <c r="F1" s="25"/>
      <c r="G1" s="25"/>
      <c r="H1" s="25"/>
      <c r="I1" s="25"/>
      <c r="J1" s="25"/>
      <c r="K1" s="23"/>
    </row>
    <row r="2" spans="1:11" ht="15">
      <c r="A2" s="3" t="s">
        <v>169</v>
      </c>
      <c r="B2" s="3" t="s">
        <v>170</v>
      </c>
      <c r="C2" s="3" t="s">
        <v>171</v>
      </c>
      <c r="D2" s="3" t="s">
        <v>172</v>
      </c>
      <c r="E2" s="3" t="s">
        <v>173</v>
      </c>
      <c r="F2" s="3" t="s">
        <v>174</v>
      </c>
      <c r="G2" s="3" t="s">
        <v>175</v>
      </c>
      <c r="H2" s="3" t="s">
        <v>176</v>
      </c>
      <c r="I2" s="3" t="s">
        <v>177</v>
      </c>
      <c r="J2" s="3" t="s">
        <v>178</v>
      </c>
    </row>
    <row r="3" spans="1:11">
      <c r="A3" t="s">
        <v>179</v>
      </c>
      <c r="B3" s="4">
        <v>500</v>
      </c>
      <c r="C3" s="4">
        <v>1000</v>
      </c>
      <c r="D3" s="4">
        <v>1500</v>
      </c>
      <c r="E3" s="4">
        <v>1000</v>
      </c>
      <c r="F3" s="4">
        <v>2000</v>
      </c>
      <c r="G3" s="4">
        <v>3000</v>
      </c>
      <c r="H3" s="4">
        <v>2000</v>
      </c>
      <c r="I3" s="4">
        <v>4000</v>
      </c>
      <c r="J3" s="4">
        <v>6000</v>
      </c>
    </row>
    <row r="4" spans="1:11">
      <c r="A4" t="s">
        <v>145</v>
      </c>
      <c r="B4" s="4">
        <v>0</v>
      </c>
      <c r="C4" s="4">
        <v>500</v>
      </c>
      <c r="D4" s="4">
        <v>1000</v>
      </c>
      <c r="E4" s="4">
        <v>0</v>
      </c>
      <c r="F4" s="4">
        <v>1000</v>
      </c>
      <c r="G4" s="4">
        <v>2000</v>
      </c>
      <c r="H4" s="4">
        <v>0</v>
      </c>
      <c r="I4" s="4">
        <v>2000</v>
      </c>
      <c r="J4" s="4">
        <v>4000</v>
      </c>
    </row>
    <row r="5" spans="1:11">
      <c r="A5" t="s">
        <v>180</v>
      </c>
      <c r="B5" s="8">
        <f>B3/Assumptions!$C$5</f>
        <v>2.5000000000000001E-2</v>
      </c>
      <c r="C5" s="8">
        <f>C3/Assumptions!$C$5</f>
        <v>0.05</v>
      </c>
      <c r="D5" s="8">
        <f>D3/Assumptions!$C$5</f>
        <v>7.4999999999999997E-2</v>
      </c>
      <c r="E5" s="8">
        <f>E3/Assumptions!$C$5</f>
        <v>0.05</v>
      </c>
      <c r="F5" s="8">
        <f>F3/Assumptions!$C$5</f>
        <v>0.1</v>
      </c>
      <c r="G5" s="8">
        <f>G3/Assumptions!$C$5</f>
        <v>0.15</v>
      </c>
      <c r="H5" s="8">
        <f>H3/Assumptions!$C$5</f>
        <v>0.1</v>
      </c>
      <c r="I5" s="8">
        <f>I3/Assumptions!$C$5</f>
        <v>0.2</v>
      </c>
      <c r="J5" s="8">
        <f>J3/Assumptions!$C$5</f>
        <v>0.3</v>
      </c>
    </row>
    <row r="6" spans="1:11">
      <c r="A6" t="s">
        <v>181</v>
      </c>
      <c r="B6" s="7">
        <f>B4*Assumptions!$C$13*12</f>
        <v>0</v>
      </c>
      <c r="C6" s="7">
        <f>C4*Assumptions!$C$13*12</f>
        <v>321000</v>
      </c>
      <c r="D6" s="7">
        <f>D4*Assumptions!$C$13*12</f>
        <v>642000</v>
      </c>
      <c r="E6" s="7">
        <f>E4*Assumptions!$C$13*12</f>
        <v>0</v>
      </c>
      <c r="F6" s="7">
        <f>F4*Assumptions!$C$13*12</f>
        <v>642000</v>
      </c>
      <c r="G6" s="7">
        <f>G4*Assumptions!$C$13*12</f>
        <v>1284000</v>
      </c>
      <c r="H6" s="7">
        <f>H4*Assumptions!$C$13*12</f>
        <v>0</v>
      </c>
      <c r="I6" s="7">
        <f>I4*Assumptions!$C$13*12</f>
        <v>1284000</v>
      </c>
      <c r="J6" s="7">
        <f>J4*Assumptions!$C$13*12</f>
        <v>2568000</v>
      </c>
    </row>
    <row r="7" spans="1:11">
      <c r="A7" t="s">
        <v>182</v>
      </c>
      <c r="B7" s="7">
        <f>B3*Assumptions!$C$29*12</f>
        <v>12000</v>
      </c>
      <c r="C7" s="7">
        <f>C3*Assumptions!$C$29*12</f>
        <v>24000</v>
      </c>
      <c r="D7" s="7">
        <f>D3*Assumptions!$C$29*12</f>
        <v>36000</v>
      </c>
      <c r="E7" s="7">
        <f>E3*Assumptions!$C$29*12</f>
        <v>24000</v>
      </c>
      <c r="F7" s="7">
        <f>F3*Assumptions!$C$29*12</f>
        <v>48000</v>
      </c>
      <c r="G7" s="7">
        <f>G3*Assumptions!$C$29*12</f>
        <v>72000</v>
      </c>
      <c r="H7" s="7">
        <f>H3*Assumptions!$C$29*12</f>
        <v>48000</v>
      </c>
      <c r="I7" s="7">
        <f>I3*Assumptions!$C$29*12</f>
        <v>96000</v>
      </c>
      <c r="J7" s="7">
        <f>J3*Assumptions!$C$29*12</f>
        <v>144000</v>
      </c>
    </row>
    <row r="8" spans="1:11">
      <c r="A8" t="s">
        <v>183</v>
      </c>
      <c r="B8" s="7">
        <f>B3*Assumptions!$C$30*12</f>
        <v>6000</v>
      </c>
      <c r="C8" s="7">
        <f>C3*Assumptions!$C$30*12</f>
        <v>12000</v>
      </c>
      <c r="D8" s="7">
        <f>D3*Assumptions!$C$30*12</f>
        <v>18000</v>
      </c>
      <c r="E8" s="7">
        <f>E3*Assumptions!$C$30*12</f>
        <v>12000</v>
      </c>
      <c r="F8" s="7">
        <f>F3*Assumptions!$C$30*12</f>
        <v>24000</v>
      </c>
      <c r="G8" s="7">
        <f>G3*Assumptions!$C$30*12</f>
        <v>36000</v>
      </c>
      <c r="H8" s="7">
        <f>H3*Assumptions!$C$30*12</f>
        <v>24000</v>
      </c>
      <c r="I8" s="7">
        <f>I3*Assumptions!$C$30*12</f>
        <v>48000</v>
      </c>
      <c r="J8" s="7">
        <f>J3*Assumptions!$C$30*12</f>
        <v>72000</v>
      </c>
    </row>
    <row r="9" spans="1:11">
      <c r="A9" t="s">
        <v>184</v>
      </c>
      <c r="B9" s="7">
        <f>B6*Assumptions!$C$31</f>
        <v>0</v>
      </c>
      <c r="C9" s="7">
        <f>C6*Assumptions!$C$31</f>
        <v>9630</v>
      </c>
      <c r="D9" s="7">
        <f>D6*Assumptions!$C$31</f>
        <v>19260</v>
      </c>
      <c r="E9" s="7">
        <f>E6*Assumptions!$C$31</f>
        <v>0</v>
      </c>
      <c r="F9" s="7">
        <f>F6*Assumptions!$C$31</f>
        <v>19260</v>
      </c>
      <c r="G9" s="7">
        <f>G6*Assumptions!$C$31</f>
        <v>38520</v>
      </c>
      <c r="H9" s="7">
        <f>H6*Assumptions!$C$31</f>
        <v>0</v>
      </c>
      <c r="I9" s="7">
        <f>I6*Assumptions!$C$31</f>
        <v>38520</v>
      </c>
      <c r="J9" s="7">
        <f>J6*Assumptions!$C$31</f>
        <v>77040</v>
      </c>
    </row>
    <row r="10" spans="1:11" ht="15">
      <c r="A10" s="1" t="s">
        <v>185</v>
      </c>
      <c r="B10" s="9">
        <f t="shared" ref="B10:J10" si="0">B6-SUM(B7:B9)</f>
        <v>-18000</v>
      </c>
      <c r="C10" s="9">
        <f t="shared" si="0"/>
        <v>275370</v>
      </c>
      <c r="D10" s="9">
        <f t="shared" si="0"/>
        <v>568740</v>
      </c>
      <c r="E10" s="9">
        <f t="shared" si="0"/>
        <v>-36000</v>
      </c>
      <c r="F10" s="9">
        <f t="shared" si="0"/>
        <v>550740</v>
      </c>
      <c r="G10" s="9">
        <f t="shared" si="0"/>
        <v>1137480</v>
      </c>
      <c r="H10" s="9">
        <f t="shared" si="0"/>
        <v>-72000</v>
      </c>
      <c r="I10" s="9">
        <f t="shared" si="0"/>
        <v>1101480</v>
      </c>
      <c r="J10" s="9">
        <f t="shared" si="0"/>
        <v>2274960</v>
      </c>
    </row>
    <row r="11" spans="1:11">
      <c r="A11" t="s">
        <v>186</v>
      </c>
      <c r="B11" s="8">
        <f t="shared" ref="B11:J11" si="1">IFERROR(B10/B6,0)</f>
        <v>0</v>
      </c>
      <c r="C11" s="8">
        <f t="shared" si="1"/>
        <v>0.85785046728971959</v>
      </c>
      <c r="D11" s="8">
        <f t="shared" si="1"/>
        <v>0.88588785046728968</v>
      </c>
      <c r="E11" s="8">
        <f t="shared" si="1"/>
        <v>0</v>
      </c>
      <c r="F11" s="8">
        <f t="shared" si="1"/>
        <v>0.85785046728971959</v>
      </c>
      <c r="G11" s="8">
        <f t="shared" si="1"/>
        <v>0.88588785046728968</v>
      </c>
      <c r="H11" s="8">
        <f t="shared" si="1"/>
        <v>0</v>
      </c>
      <c r="I11" s="8">
        <f t="shared" si="1"/>
        <v>0.85785046728971959</v>
      </c>
      <c r="J11" s="8">
        <f t="shared" si="1"/>
        <v>0.88588785046728968</v>
      </c>
    </row>
    <row r="12" spans="1:11">
      <c r="A12" t="s">
        <v>187</v>
      </c>
      <c r="B12" s="7">
        <f>'Commission Model'!J3</f>
        <v>0</v>
      </c>
      <c r="C12" s="7">
        <f>'Commission Model'!J4</f>
        <v>44940</v>
      </c>
      <c r="D12" s="7">
        <f>'Commission Model'!J5</f>
        <v>52563.75</v>
      </c>
      <c r="E12" s="7">
        <f>'Commission Model'!J6</f>
        <v>0</v>
      </c>
      <c r="F12" s="7">
        <f>'Commission Model'!J7</f>
        <v>89880</v>
      </c>
      <c r="G12" s="7">
        <f>'Commission Model'!J8</f>
        <v>105127.5</v>
      </c>
      <c r="H12" s="7">
        <f>'Commission Model'!J9</f>
        <v>0</v>
      </c>
      <c r="I12" s="7">
        <f>'Commission Model'!J10</f>
        <v>179760</v>
      </c>
      <c r="J12" s="7">
        <f>'Commission Model'!J11</f>
        <v>210255</v>
      </c>
    </row>
    <row r="13" spans="1:11">
      <c r="A13" t="s">
        <v>188</v>
      </c>
      <c r="B13" s="7">
        <f>Assumptions!$C$25</f>
        <v>50000</v>
      </c>
      <c r="C13" s="7">
        <f>Assumptions!$C$25</f>
        <v>50000</v>
      </c>
      <c r="D13" s="7">
        <f>Assumptions!$C$25</f>
        <v>50000</v>
      </c>
      <c r="E13" s="7">
        <f>Assumptions!$C$25</f>
        <v>50000</v>
      </c>
      <c r="F13" s="7">
        <f>Assumptions!$C$25</f>
        <v>50000</v>
      </c>
      <c r="G13" s="7">
        <f>Assumptions!$C$25</f>
        <v>50000</v>
      </c>
      <c r="H13" s="7">
        <f>Assumptions!$C$25</f>
        <v>50000</v>
      </c>
      <c r="I13" s="7">
        <f>Assumptions!$C$25</f>
        <v>50000</v>
      </c>
      <c r="J13" s="7">
        <f>Assumptions!$C$25</f>
        <v>50000</v>
      </c>
    </row>
    <row r="14" spans="1:11">
      <c r="A14" t="s">
        <v>189</v>
      </c>
      <c r="B14" s="7">
        <f>Assumptions!$C$26*12</f>
        <v>30000</v>
      </c>
      <c r="C14" s="7">
        <f>Assumptions!$C$26*12</f>
        <v>30000</v>
      </c>
      <c r="D14" s="7">
        <f>Assumptions!$C$26*12</f>
        <v>30000</v>
      </c>
      <c r="E14" s="7">
        <f>Assumptions!$C$26*12</f>
        <v>30000</v>
      </c>
      <c r="F14" s="7">
        <f>Assumptions!$C$26*12</f>
        <v>30000</v>
      </c>
      <c r="G14" s="7">
        <f>Assumptions!$C$26*12</f>
        <v>30000</v>
      </c>
      <c r="H14" s="7">
        <f>Assumptions!$C$26*12</f>
        <v>30000</v>
      </c>
      <c r="I14" s="7">
        <f>Assumptions!$C$26*12</f>
        <v>30000</v>
      </c>
      <c r="J14" s="7">
        <f>Assumptions!$C$26*12</f>
        <v>30000</v>
      </c>
    </row>
    <row r="15" spans="1:11">
      <c r="A15" t="s">
        <v>125</v>
      </c>
      <c r="B15" s="7">
        <f>Assumptions!$C$27</f>
        <v>10000</v>
      </c>
      <c r="C15" s="7">
        <f>Assumptions!$C$27</f>
        <v>10000</v>
      </c>
      <c r="D15" s="7">
        <f>Assumptions!$C$27</f>
        <v>10000</v>
      </c>
      <c r="E15" s="7">
        <f>Assumptions!$C$27</f>
        <v>10000</v>
      </c>
      <c r="F15" s="7">
        <f>Assumptions!$C$27</f>
        <v>10000</v>
      </c>
      <c r="G15" s="7">
        <f>Assumptions!$C$27</f>
        <v>10000</v>
      </c>
      <c r="H15" s="7">
        <f>Assumptions!$C$27</f>
        <v>10000</v>
      </c>
      <c r="I15" s="7">
        <f>Assumptions!$C$27</f>
        <v>10000</v>
      </c>
      <c r="J15" s="7">
        <f>Assumptions!$C$27</f>
        <v>10000</v>
      </c>
    </row>
    <row r="16" spans="1:11">
      <c r="A16" t="s">
        <v>127</v>
      </c>
      <c r="B16" s="7">
        <f>Assumptions!$C$28</f>
        <v>35000</v>
      </c>
      <c r="C16" s="7">
        <v>24000</v>
      </c>
      <c r="D16" s="7">
        <v>24000</v>
      </c>
      <c r="E16" s="7">
        <f>Assumptions!$C$28</f>
        <v>35000</v>
      </c>
      <c r="F16" s="7">
        <v>24000</v>
      </c>
      <c r="G16" s="7">
        <v>24000</v>
      </c>
      <c r="H16" s="7">
        <f>Assumptions!$C$28</f>
        <v>35000</v>
      </c>
      <c r="I16" s="7">
        <v>24000</v>
      </c>
      <c r="J16" s="7">
        <v>24000</v>
      </c>
    </row>
    <row r="17" spans="1:10">
      <c r="A17" t="s">
        <v>190</v>
      </c>
      <c r="B17" s="7">
        <f>Assumptions!$C$23+Assumptions!$C$24</f>
        <v>60000</v>
      </c>
      <c r="C17" s="7">
        <f>0</f>
        <v>0</v>
      </c>
      <c r="D17" s="7">
        <f>0</f>
        <v>0</v>
      </c>
      <c r="E17" s="7">
        <f>Assumptions!$C$23+Assumptions!$C$24</f>
        <v>60000</v>
      </c>
      <c r="F17" s="7">
        <f>0</f>
        <v>0</v>
      </c>
      <c r="G17" s="7">
        <f>0</f>
        <v>0</v>
      </c>
      <c r="H17" s="7">
        <f>Assumptions!$C$23+Assumptions!$C$24</f>
        <v>60000</v>
      </c>
      <c r="I17" s="7">
        <f>0</f>
        <v>0</v>
      </c>
      <c r="J17" s="7">
        <f>0</f>
        <v>0</v>
      </c>
    </row>
    <row r="18" spans="1:10" ht="15">
      <c r="A18" s="1" t="s">
        <v>191</v>
      </c>
      <c r="B18" s="9">
        <f t="shared" ref="B18:J18" si="2">B10-SUM(B12:B16)</f>
        <v>-143000</v>
      </c>
      <c r="C18" s="9">
        <f t="shared" si="2"/>
        <v>116430</v>
      </c>
      <c r="D18" s="9">
        <f t="shared" si="2"/>
        <v>402176.25</v>
      </c>
      <c r="E18" s="9">
        <f t="shared" si="2"/>
        <v>-161000</v>
      </c>
      <c r="F18" s="9">
        <f t="shared" si="2"/>
        <v>346860</v>
      </c>
      <c r="G18" s="9">
        <f t="shared" si="2"/>
        <v>918352.5</v>
      </c>
      <c r="H18" s="9">
        <f t="shared" si="2"/>
        <v>-197000</v>
      </c>
      <c r="I18" s="9">
        <f t="shared" si="2"/>
        <v>807720</v>
      </c>
      <c r="J18" s="9">
        <f t="shared" si="2"/>
        <v>1950705</v>
      </c>
    </row>
    <row r="19" spans="1:10">
      <c r="A19" t="s">
        <v>192</v>
      </c>
      <c r="B19" s="7">
        <f>Assumptions!$C$3+B18</f>
        <v>57000</v>
      </c>
      <c r="C19" s="7">
        <f t="shared" ref="C19:J19" si="3">B19+C18</f>
        <v>173430</v>
      </c>
      <c r="D19" s="7">
        <f t="shared" si="3"/>
        <v>575606.25</v>
      </c>
      <c r="E19" s="7">
        <f t="shared" si="3"/>
        <v>414606.25</v>
      </c>
      <c r="F19" s="7">
        <f t="shared" si="3"/>
        <v>761466.25</v>
      </c>
      <c r="G19" s="7">
        <f t="shared" si="3"/>
        <v>1679818.75</v>
      </c>
      <c r="H19" s="7">
        <f t="shared" si="3"/>
        <v>1482818.75</v>
      </c>
      <c r="I19" s="7">
        <f t="shared" si="3"/>
        <v>2290538.75</v>
      </c>
      <c r="J19" s="7">
        <f t="shared" si="3"/>
        <v>4241243.75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4"/>
  <sheetViews>
    <sheetView topLeftCell="X1" zoomScale="174" workbookViewId="0">
      <selection activeCell="G37" sqref="G37"/>
    </sheetView>
  </sheetViews>
  <sheetFormatPr baseColWidth="10" defaultColWidth="8.83203125" defaultRowHeight="14"/>
  <cols>
    <col min="1" max="1" width="27.6640625" customWidth="1"/>
    <col min="2" max="2" width="8.83203125" customWidth="1"/>
    <col min="3" max="3" width="11.5" customWidth="1"/>
    <col min="4" max="4" width="10" customWidth="1"/>
    <col min="5" max="5" width="15.5" customWidth="1"/>
    <col min="6" max="6" width="16" customWidth="1"/>
    <col min="7" max="13" width="8.6640625" customWidth="1"/>
    <col min="14" max="16" width="8.83203125" customWidth="1"/>
    <col min="17" max="22" width="10" customWidth="1"/>
    <col min="23" max="37" width="10.1640625" customWidth="1"/>
  </cols>
  <sheetData>
    <row r="1" spans="1:37" ht="18">
      <c r="A1" s="25" t="s">
        <v>193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37" ht="15">
      <c r="A2" s="3" t="s">
        <v>194</v>
      </c>
      <c r="B2" s="15">
        <v>46266</v>
      </c>
      <c r="C2" s="15">
        <v>46296</v>
      </c>
      <c r="D2" s="15">
        <v>46327</v>
      </c>
      <c r="E2" s="15">
        <v>46357</v>
      </c>
      <c r="F2" s="15">
        <v>46388</v>
      </c>
      <c r="G2" s="15">
        <v>46419</v>
      </c>
      <c r="H2" s="15">
        <v>46447</v>
      </c>
      <c r="I2" s="15">
        <v>46478</v>
      </c>
      <c r="J2" s="15">
        <v>46508</v>
      </c>
      <c r="K2" s="15">
        <v>46539</v>
      </c>
      <c r="L2" s="15">
        <v>46569</v>
      </c>
      <c r="M2" s="15">
        <v>46600</v>
      </c>
      <c r="N2" s="15">
        <v>46631</v>
      </c>
      <c r="O2" s="15">
        <v>46661</v>
      </c>
      <c r="P2" s="15">
        <v>46692</v>
      </c>
      <c r="Q2" s="15">
        <v>46722</v>
      </c>
      <c r="R2" s="15">
        <v>46753</v>
      </c>
      <c r="S2" s="15">
        <v>46784</v>
      </c>
      <c r="T2" s="15">
        <v>46813</v>
      </c>
      <c r="U2" s="15">
        <v>46844</v>
      </c>
      <c r="V2" s="15">
        <v>46874</v>
      </c>
      <c r="W2" s="15">
        <v>46905</v>
      </c>
      <c r="X2" s="15">
        <v>46935</v>
      </c>
      <c r="Y2" s="15">
        <v>46966</v>
      </c>
      <c r="Z2" s="15">
        <v>46997</v>
      </c>
      <c r="AA2" s="15">
        <v>47027</v>
      </c>
      <c r="AB2" s="15">
        <v>47058</v>
      </c>
      <c r="AC2" s="15">
        <v>47088</v>
      </c>
      <c r="AD2" s="15">
        <v>47119</v>
      </c>
      <c r="AE2" s="15">
        <v>47150</v>
      </c>
      <c r="AF2" s="15">
        <v>47178</v>
      </c>
      <c r="AG2" s="15">
        <v>47209</v>
      </c>
      <c r="AH2" s="15">
        <v>47239</v>
      </c>
      <c r="AI2" s="15">
        <v>47270</v>
      </c>
      <c r="AJ2" s="15">
        <v>47300</v>
      </c>
      <c r="AK2" s="15">
        <v>47331</v>
      </c>
    </row>
    <row r="3" spans="1:37">
      <c r="A3" t="s">
        <v>195</v>
      </c>
      <c r="B3" s="7">
        <f>Assumptions!$C$3</f>
        <v>200000</v>
      </c>
      <c r="C3" s="7">
        <f t="shared" ref="C3:AK3" si="0">B14</f>
        <v>184333.33333333334</v>
      </c>
      <c r="D3" s="7">
        <f t="shared" si="0"/>
        <v>168416.66666666669</v>
      </c>
      <c r="E3" s="7">
        <f t="shared" si="0"/>
        <v>152250.00000000003</v>
      </c>
      <c r="F3" s="7">
        <f t="shared" si="0"/>
        <v>135833.33333333337</v>
      </c>
      <c r="G3" s="7">
        <f t="shared" si="0"/>
        <v>119166.6666666667</v>
      </c>
      <c r="H3" s="7">
        <f t="shared" si="0"/>
        <v>102250.00000000003</v>
      </c>
      <c r="I3" s="7">
        <f t="shared" si="0"/>
        <v>85083.333333333358</v>
      </c>
      <c r="J3" s="7">
        <f t="shared" si="0"/>
        <v>67666.666666666686</v>
      </c>
      <c r="K3" s="7">
        <f t="shared" si="0"/>
        <v>50000.000000000015</v>
      </c>
      <c r="L3" s="7">
        <f t="shared" si="0"/>
        <v>32083.333333333347</v>
      </c>
      <c r="M3" s="7">
        <f t="shared" si="0"/>
        <v>13916.666666666679</v>
      </c>
      <c r="N3" s="7">
        <f t="shared" si="0"/>
        <v>-4499.9999999999891</v>
      </c>
      <c r="O3" s="7">
        <f t="shared" si="0"/>
        <v>572626.25</v>
      </c>
      <c r="P3" s="7">
        <f t="shared" si="0"/>
        <v>549368.75</v>
      </c>
      <c r="Q3" s="7">
        <f t="shared" si="0"/>
        <v>525727.5</v>
      </c>
      <c r="R3" s="7">
        <f t="shared" si="0"/>
        <v>501702.5</v>
      </c>
      <c r="S3" s="7">
        <f t="shared" si="0"/>
        <v>477293.75</v>
      </c>
      <c r="T3" s="7">
        <f t="shared" si="0"/>
        <v>452501.25</v>
      </c>
      <c r="U3" s="7">
        <f t="shared" si="0"/>
        <v>427325</v>
      </c>
      <c r="V3" s="7">
        <f t="shared" si="0"/>
        <v>401765</v>
      </c>
      <c r="W3" s="7">
        <f t="shared" si="0"/>
        <v>375821.25</v>
      </c>
      <c r="X3" s="7">
        <f t="shared" si="0"/>
        <v>349493.75</v>
      </c>
      <c r="Y3" s="7">
        <f t="shared" si="0"/>
        <v>322782.5</v>
      </c>
      <c r="Z3" s="7">
        <f t="shared" si="0"/>
        <v>295687.5</v>
      </c>
      <c r="AA3" s="7">
        <f t="shared" si="0"/>
        <v>1466938.125</v>
      </c>
      <c r="AB3" s="7">
        <f t="shared" si="0"/>
        <v>1437805</v>
      </c>
      <c r="AC3" s="7">
        <f t="shared" si="0"/>
        <v>1408288.125</v>
      </c>
      <c r="AD3" s="7">
        <f t="shared" si="0"/>
        <v>1378387.5</v>
      </c>
      <c r="AE3" s="7">
        <f t="shared" si="0"/>
        <v>1348103.125</v>
      </c>
      <c r="AF3" s="7">
        <f t="shared" si="0"/>
        <v>1317435</v>
      </c>
      <c r="AG3" s="7">
        <f t="shared" si="0"/>
        <v>1286383.125</v>
      </c>
      <c r="AH3" s="7">
        <f t="shared" si="0"/>
        <v>1254947.5</v>
      </c>
      <c r="AI3" s="7">
        <f t="shared" si="0"/>
        <v>1223128.125</v>
      </c>
      <c r="AJ3" s="7">
        <f t="shared" si="0"/>
        <v>1190925</v>
      </c>
      <c r="AK3" s="7">
        <f t="shared" si="0"/>
        <v>1158338.125</v>
      </c>
    </row>
    <row r="4" spans="1:37">
      <c r="A4" t="s">
        <v>196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</row>
    <row r="5" spans="1:37">
      <c r="A5" t="s">
        <v>197</v>
      </c>
      <c r="B5" s="7">
        <f>0</f>
        <v>0</v>
      </c>
      <c r="C5" s="7">
        <f>0</f>
        <v>0</v>
      </c>
      <c r="D5" s="7">
        <f>0</f>
        <v>0</v>
      </c>
      <c r="E5" s="7">
        <f>0</f>
        <v>0</v>
      </c>
      <c r="F5" s="7">
        <f>0</f>
        <v>0</v>
      </c>
      <c r="G5" s="7">
        <f>0</f>
        <v>0</v>
      </c>
      <c r="H5" s="7">
        <f>0</f>
        <v>0</v>
      </c>
      <c r="I5" s="7">
        <f>0</f>
        <v>0</v>
      </c>
      <c r="J5" s="7">
        <f>0</f>
        <v>0</v>
      </c>
      <c r="K5" s="7">
        <f>0</f>
        <v>0</v>
      </c>
      <c r="L5" s="7">
        <f>0</f>
        <v>0</v>
      </c>
      <c r="M5" s="7">
        <f>0</f>
        <v>0</v>
      </c>
      <c r="N5" s="7">
        <v>600000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1200000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>
      <c r="A6" t="s">
        <v>190</v>
      </c>
      <c r="B6" s="7">
        <f>IF(COLUMN()-1&lt;=12,(Assumptions!$C$23+Assumptions!$C$24)/12,0)</f>
        <v>5000</v>
      </c>
      <c r="C6" s="7">
        <f>IF(COLUMN()-1&lt;=12,(Assumptions!$C$23+Assumptions!$C$24)/12,0)</f>
        <v>5000</v>
      </c>
      <c r="D6" s="7">
        <f>IF(COLUMN()-1&lt;=12,(Assumptions!$C$23+Assumptions!$C$24)/12,0)</f>
        <v>5000</v>
      </c>
      <c r="E6" s="7">
        <f>IF(COLUMN()-1&lt;=12,(Assumptions!$C$23+Assumptions!$C$24)/12,0)</f>
        <v>5000</v>
      </c>
      <c r="F6" s="7">
        <f>IF(COLUMN()-1&lt;=12,(Assumptions!$C$23+Assumptions!$C$24)/12,0)</f>
        <v>5000</v>
      </c>
      <c r="G6" s="7">
        <f>IF(COLUMN()-1&lt;=12,(Assumptions!$C$23+Assumptions!$C$24)/12,0)</f>
        <v>5000</v>
      </c>
      <c r="H6" s="7">
        <f>IF(COLUMN()-1&lt;=12,(Assumptions!$C$23+Assumptions!$C$24)/12,0)</f>
        <v>5000</v>
      </c>
      <c r="I6" s="7">
        <f>IF(COLUMN()-1&lt;=12,(Assumptions!$C$23+Assumptions!$C$24)/12,0)</f>
        <v>5000</v>
      </c>
      <c r="J6" s="7">
        <f>IF(COLUMN()-1&lt;=12,(Assumptions!$C$23+Assumptions!$C$24)/12,0)</f>
        <v>5000</v>
      </c>
      <c r="K6" s="7">
        <f>IF(COLUMN()-1&lt;=12,(Assumptions!$C$23+Assumptions!$C$24)/12,0)</f>
        <v>5000</v>
      </c>
      <c r="L6" s="7">
        <f>IF(COLUMN()-1&lt;=12,(Assumptions!$C$23+Assumptions!$C$24)/12,0)</f>
        <v>5000</v>
      </c>
      <c r="M6" s="7">
        <f>IF(COLUMN()-1&lt;=12,(Assumptions!$C$23+Assumptions!$C$24)/12,0)</f>
        <v>5000</v>
      </c>
      <c r="N6" s="7">
        <v>2500</v>
      </c>
      <c r="O6" s="7">
        <v>2500</v>
      </c>
      <c r="P6" s="7">
        <v>2500</v>
      </c>
      <c r="Q6" s="7">
        <v>2500</v>
      </c>
      <c r="R6" s="7">
        <v>2500</v>
      </c>
      <c r="S6" s="7">
        <v>2500</v>
      </c>
      <c r="T6" s="7">
        <v>2500</v>
      </c>
      <c r="U6" s="7">
        <v>2500</v>
      </c>
      <c r="V6" s="7">
        <v>2500</v>
      </c>
      <c r="W6" s="7">
        <v>2500</v>
      </c>
      <c r="X6" s="7">
        <v>2500</v>
      </c>
      <c r="Y6" s="7">
        <v>2500</v>
      </c>
      <c r="Z6" s="7">
        <v>2500</v>
      </c>
      <c r="AA6" s="7">
        <v>2500</v>
      </c>
      <c r="AB6" s="7">
        <v>2500</v>
      </c>
      <c r="AC6" s="7">
        <v>2500</v>
      </c>
      <c r="AD6" s="7">
        <v>2500</v>
      </c>
      <c r="AE6" s="7">
        <v>2500</v>
      </c>
      <c r="AF6" s="7">
        <v>2500</v>
      </c>
      <c r="AG6" s="7">
        <v>2500</v>
      </c>
      <c r="AH6" s="7">
        <v>2500</v>
      </c>
      <c r="AI6" s="7">
        <v>2500</v>
      </c>
      <c r="AJ6" s="7">
        <v>2500</v>
      </c>
      <c r="AK6" s="7">
        <v>2500</v>
      </c>
    </row>
    <row r="7" spans="1:37">
      <c r="A7" t="s">
        <v>188</v>
      </c>
      <c r="B7" s="7">
        <f>Assumptions!$C$25/12</f>
        <v>4166.666666666667</v>
      </c>
      <c r="C7" s="7">
        <f>Assumptions!$C$25/12</f>
        <v>4166.666666666667</v>
      </c>
      <c r="D7" s="7">
        <f>Assumptions!$C$25/12</f>
        <v>4166.666666666667</v>
      </c>
      <c r="E7" s="7">
        <f>Assumptions!$C$25/12</f>
        <v>4166.666666666667</v>
      </c>
      <c r="F7" s="7">
        <f>Assumptions!$C$25/12</f>
        <v>4166.666666666667</v>
      </c>
      <c r="G7" s="7">
        <f>Assumptions!$C$25/12</f>
        <v>4166.666666666667</v>
      </c>
      <c r="H7" s="7">
        <f>Assumptions!$C$25/12</f>
        <v>4166.666666666667</v>
      </c>
      <c r="I7" s="7">
        <f>Assumptions!$C$25/12</f>
        <v>4166.666666666667</v>
      </c>
      <c r="J7" s="7">
        <f>Assumptions!$C$25/12</f>
        <v>4166.666666666667</v>
      </c>
      <c r="K7" s="7">
        <f>Assumptions!$C$25/12</f>
        <v>4166.666666666667</v>
      </c>
      <c r="L7" s="7">
        <f>Assumptions!$C$25/12</f>
        <v>4166.666666666667</v>
      </c>
      <c r="M7" s="7">
        <f>Assumptions!$C$25/12</f>
        <v>4166.666666666667</v>
      </c>
      <c r="N7" s="7">
        <f>Assumptions!$C$25/12</f>
        <v>4166.666666666667</v>
      </c>
      <c r="O7" s="7">
        <f>Assumptions!$C$25/12</f>
        <v>4166.666666666667</v>
      </c>
      <c r="P7" s="7">
        <f>Assumptions!$C$25/12</f>
        <v>4166.666666666667</v>
      </c>
      <c r="Q7" s="7">
        <f>Assumptions!$C$25/12</f>
        <v>4166.666666666667</v>
      </c>
      <c r="R7" s="7">
        <f>Assumptions!$C$25/12</f>
        <v>4166.666666666667</v>
      </c>
      <c r="S7" s="7">
        <f>Assumptions!$C$25/12</f>
        <v>4166.666666666667</v>
      </c>
      <c r="T7" s="7">
        <f>Assumptions!$C$25/12</f>
        <v>4166.666666666667</v>
      </c>
      <c r="U7" s="7">
        <f>Assumptions!$C$25/12</f>
        <v>4166.666666666667</v>
      </c>
      <c r="V7" s="7">
        <f>Assumptions!$C$25/12</f>
        <v>4166.666666666667</v>
      </c>
      <c r="W7" s="7">
        <f>Assumptions!$C$25/12</f>
        <v>4166.666666666667</v>
      </c>
      <c r="X7" s="7">
        <f>Assumptions!$C$25/12</f>
        <v>4166.666666666667</v>
      </c>
      <c r="Y7" s="7">
        <f>Assumptions!$C$25/12</f>
        <v>4166.666666666667</v>
      </c>
      <c r="Z7" s="7">
        <f>Assumptions!$C$25/12</f>
        <v>4166.666666666667</v>
      </c>
      <c r="AA7" s="7">
        <f>Assumptions!$C$25/12</f>
        <v>4166.666666666667</v>
      </c>
      <c r="AB7" s="7">
        <f>Assumptions!$C$25/12</f>
        <v>4166.666666666667</v>
      </c>
      <c r="AC7" s="7">
        <f>Assumptions!$C$25/12</f>
        <v>4166.666666666667</v>
      </c>
      <c r="AD7" s="7">
        <f>Assumptions!$C$25/12</f>
        <v>4166.666666666667</v>
      </c>
      <c r="AE7" s="7">
        <f>Assumptions!$C$25/12</f>
        <v>4166.666666666667</v>
      </c>
      <c r="AF7" s="7">
        <f>Assumptions!$C$25/12</f>
        <v>4166.666666666667</v>
      </c>
      <c r="AG7" s="7">
        <f>Assumptions!$C$25/12</f>
        <v>4166.666666666667</v>
      </c>
      <c r="AH7" s="7">
        <f>Assumptions!$C$25/12</f>
        <v>4166.666666666667</v>
      </c>
      <c r="AI7" s="7">
        <f>Assumptions!$C$25/12</f>
        <v>4166.666666666667</v>
      </c>
      <c r="AJ7" s="7">
        <f>Assumptions!$C$25/12</f>
        <v>4166.666666666667</v>
      </c>
      <c r="AK7" s="7">
        <f>Assumptions!$C$25/12</f>
        <v>4166.666666666667</v>
      </c>
    </row>
    <row r="8" spans="1:37">
      <c r="A8" t="s">
        <v>189</v>
      </c>
      <c r="B8" s="7">
        <f>Assumptions!$C$26</f>
        <v>2500</v>
      </c>
      <c r="C8" s="7">
        <f>Assumptions!$C$26</f>
        <v>2500</v>
      </c>
      <c r="D8" s="7">
        <f>Assumptions!$C$26</f>
        <v>2500</v>
      </c>
      <c r="E8" s="7">
        <f>Assumptions!$C$26</f>
        <v>2500</v>
      </c>
      <c r="F8" s="7">
        <f>Assumptions!$C$26</f>
        <v>2500</v>
      </c>
      <c r="G8" s="7">
        <f>Assumptions!$C$26</f>
        <v>2500</v>
      </c>
      <c r="H8" s="7">
        <f>Assumptions!$C$26</f>
        <v>2500</v>
      </c>
      <c r="I8" s="7">
        <f>Assumptions!$C$26</f>
        <v>2500</v>
      </c>
      <c r="J8" s="7">
        <f>Assumptions!$C$26</f>
        <v>2500</v>
      </c>
      <c r="K8" s="7">
        <f>Assumptions!$C$26</f>
        <v>2500</v>
      </c>
      <c r="L8" s="7">
        <f>Assumptions!$C$26</f>
        <v>2500</v>
      </c>
      <c r="M8" s="7">
        <f>Assumptions!$C$26</f>
        <v>2500</v>
      </c>
      <c r="N8" s="7">
        <f>Assumptions!$C$26</f>
        <v>2500</v>
      </c>
      <c r="O8" s="7">
        <f>Assumptions!$C$26</f>
        <v>2500</v>
      </c>
      <c r="P8" s="7">
        <f>Assumptions!$C$26</f>
        <v>2500</v>
      </c>
      <c r="Q8" s="7">
        <f>Assumptions!$C$26</f>
        <v>2500</v>
      </c>
      <c r="R8" s="7">
        <f>Assumptions!$C$26</f>
        <v>2500</v>
      </c>
      <c r="S8" s="7">
        <f>Assumptions!$C$26</f>
        <v>2500</v>
      </c>
      <c r="T8" s="7">
        <f>Assumptions!$C$26</f>
        <v>2500</v>
      </c>
      <c r="U8" s="7">
        <f>Assumptions!$C$26</f>
        <v>2500</v>
      </c>
      <c r="V8" s="7">
        <f>Assumptions!$C$26</f>
        <v>2500</v>
      </c>
      <c r="W8" s="7">
        <f>Assumptions!$C$26</f>
        <v>2500</v>
      </c>
      <c r="X8" s="7">
        <f>Assumptions!$C$26</f>
        <v>2500</v>
      </c>
      <c r="Y8" s="7">
        <f>Assumptions!$C$26</f>
        <v>2500</v>
      </c>
      <c r="Z8" s="7">
        <f>Assumptions!$C$26</f>
        <v>2500</v>
      </c>
      <c r="AA8" s="7">
        <f>Assumptions!$C$26</f>
        <v>2500</v>
      </c>
      <c r="AB8" s="7">
        <f>Assumptions!$C$26</f>
        <v>2500</v>
      </c>
      <c r="AC8" s="7">
        <f>Assumptions!$C$26</f>
        <v>2500</v>
      </c>
      <c r="AD8" s="7">
        <f>Assumptions!$C$26</f>
        <v>2500</v>
      </c>
      <c r="AE8" s="7">
        <f>Assumptions!$C$26</f>
        <v>2500</v>
      </c>
      <c r="AF8" s="7">
        <f>Assumptions!$C$26</f>
        <v>2500</v>
      </c>
      <c r="AG8" s="7">
        <f>Assumptions!$C$26</f>
        <v>2500</v>
      </c>
      <c r="AH8" s="7">
        <f>Assumptions!$C$26</f>
        <v>2500</v>
      </c>
      <c r="AI8" s="7">
        <f>Assumptions!$C$26</f>
        <v>2500</v>
      </c>
      <c r="AJ8" s="7">
        <f>Assumptions!$C$26</f>
        <v>2500</v>
      </c>
      <c r="AK8" s="7">
        <f>Assumptions!$C$26</f>
        <v>2500</v>
      </c>
    </row>
    <row r="9" spans="1:37">
      <c r="A9" t="s">
        <v>302</v>
      </c>
      <c r="B9" s="7">
        <f>0</f>
        <v>0</v>
      </c>
      <c r="C9" s="7">
        <f>0</f>
        <v>0</v>
      </c>
      <c r="D9" s="7">
        <f>0</f>
        <v>0</v>
      </c>
      <c r="E9" s="7">
        <f>0</f>
        <v>0</v>
      </c>
      <c r="F9" s="7">
        <f>0</f>
        <v>0</v>
      </c>
      <c r="G9" s="7">
        <f>0</f>
        <v>0</v>
      </c>
      <c r="H9" s="7">
        <f>0</f>
        <v>0</v>
      </c>
      <c r="I9" s="7">
        <f>0</f>
        <v>0</v>
      </c>
      <c r="J9" s="7">
        <f>0</f>
        <v>0</v>
      </c>
      <c r="K9" s="7">
        <f>0</f>
        <v>0</v>
      </c>
      <c r="L9" s="7">
        <f>0</f>
        <v>0</v>
      </c>
      <c r="M9" s="7">
        <f>0</f>
        <v>0</v>
      </c>
      <c r="N9" s="7">
        <f>'Commission Model'!J7/12</f>
        <v>7490</v>
      </c>
      <c r="O9" s="7">
        <f>'Commission Model'!J7/12</f>
        <v>7490</v>
      </c>
      <c r="P9" s="7">
        <f>'Commission Model'!J7/12</f>
        <v>7490</v>
      </c>
      <c r="Q9" s="7">
        <f>'Commission Model'!J7/12</f>
        <v>7490</v>
      </c>
      <c r="R9" s="7">
        <f>'Commission Model'!J7/12</f>
        <v>7490</v>
      </c>
      <c r="S9" s="7">
        <f>'Commission Model'!J7/12</f>
        <v>7490</v>
      </c>
      <c r="T9" s="7">
        <f>'Commission Model'!J7/12</f>
        <v>7490</v>
      </c>
      <c r="U9" s="7">
        <f>'Commission Model'!J7/12</f>
        <v>7490</v>
      </c>
      <c r="V9" s="7">
        <f>'Commission Model'!J7/12</f>
        <v>7490</v>
      </c>
      <c r="W9" s="7">
        <f>'Commission Model'!J7/12</f>
        <v>7490</v>
      </c>
      <c r="X9" s="7">
        <f>'Commission Model'!J7/12</f>
        <v>7490</v>
      </c>
      <c r="Y9" s="7">
        <f>'Commission Model'!J7/12</f>
        <v>7490</v>
      </c>
      <c r="Z9" s="7">
        <f>'Commission Model'!J8/12</f>
        <v>8760.625</v>
      </c>
      <c r="AA9" s="7">
        <f>'Commission Model'!J8/12</f>
        <v>8760.625</v>
      </c>
      <c r="AB9" s="7">
        <f>'Commission Model'!J8/12</f>
        <v>8760.625</v>
      </c>
      <c r="AC9" s="7">
        <f>'Commission Model'!J8/12</f>
        <v>8760.625</v>
      </c>
      <c r="AD9" s="7">
        <f>'Commission Model'!J8/12</f>
        <v>8760.625</v>
      </c>
      <c r="AE9" s="7">
        <f>'Commission Model'!J8/12</f>
        <v>8760.625</v>
      </c>
      <c r="AF9" s="7">
        <f>'Commission Model'!J8/12</f>
        <v>8760.625</v>
      </c>
      <c r="AG9" s="7">
        <f>'Commission Model'!J8/12</f>
        <v>8760.625</v>
      </c>
      <c r="AH9" s="7">
        <f>'Commission Model'!J8/12</f>
        <v>8760.625</v>
      </c>
      <c r="AI9" s="7">
        <f>'Commission Model'!J8/12</f>
        <v>8760.625</v>
      </c>
      <c r="AJ9" s="7">
        <f>'Commission Model'!J8/12</f>
        <v>8760.625</v>
      </c>
      <c r="AK9" s="7">
        <f>'Commission Model'!J8/12</f>
        <v>8760.625</v>
      </c>
    </row>
    <row r="10" spans="1:37">
      <c r="A10" t="s">
        <v>125</v>
      </c>
      <c r="B10" s="7">
        <f>Assumptions!$C$27/12</f>
        <v>833.33333333333337</v>
      </c>
      <c r="C10" s="7">
        <f>Assumptions!$C$27/12</f>
        <v>833.33333333333337</v>
      </c>
      <c r="D10" s="7">
        <f>Assumptions!$C$27/12</f>
        <v>833.33333333333337</v>
      </c>
      <c r="E10" s="7">
        <f>Assumptions!$C$27/12</f>
        <v>833.33333333333337</v>
      </c>
      <c r="F10" s="7">
        <f>Assumptions!$C$27/12</f>
        <v>833.33333333333337</v>
      </c>
      <c r="G10" s="7">
        <f>Assumptions!$C$27/12</f>
        <v>833.33333333333337</v>
      </c>
      <c r="H10" s="7">
        <f>Assumptions!$C$27/12</f>
        <v>833.33333333333337</v>
      </c>
      <c r="I10" s="7">
        <f>Assumptions!$C$27/12</f>
        <v>833.33333333333337</v>
      </c>
      <c r="J10" s="7">
        <f>Assumptions!$C$27/12</f>
        <v>833.33333333333337</v>
      </c>
      <c r="K10" s="7">
        <f>Assumptions!$C$27/12</f>
        <v>833.33333333333337</v>
      </c>
      <c r="L10" s="7">
        <f>Assumptions!$C$27/12</f>
        <v>833.33333333333337</v>
      </c>
      <c r="M10" s="7">
        <f>Assumptions!$C$27/12</f>
        <v>833.33333333333337</v>
      </c>
      <c r="N10" s="7">
        <f>Assumptions!$C$27/12</f>
        <v>833.33333333333337</v>
      </c>
      <c r="O10" s="7">
        <f>Assumptions!$C$27/12</f>
        <v>833.33333333333337</v>
      </c>
      <c r="P10" s="7">
        <f>Assumptions!$C$27/12</f>
        <v>833.33333333333337</v>
      </c>
      <c r="Q10" s="7">
        <f>Assumptions!$C$27/12</f>
        <v>833.33333333333337</v>
      </c>
      <c r="R10" s="7">
        <f>Assumptions!$C$27/12</f>
        <v>833.33333333333337</v>
      </c>
      <c r="S10" s="7">
        <f>Assumptions!$C$27/12</f>
        <v>833.33333333333337</v>
      </c>
      <c r="T10" s="7">
        <f>Assumptions!$C$27/12</f>
        <v>833.33333333333337</v>
      </c>
      <c r="U10" s="7">
        <f>Assumptions!$C$27/12</f>
        <v>833.33333333333337</v>
      </c>
      <c r="V10" s="7">
        <f>Assumptions!$C$27/12</f>
        <v>833.33333333333337</v>
      </c>
      <c r="W10" s="7">
        <f>Assumptions!$C$27/12</f>
        <v>833.33333333333337</v>
      </c>
      <c r="X10" s="7">
        <f>Assumptions!$C$27/12</f>
        <v>833.33333333333337</v>
      </c>
      <c r="Y10" s="7">
        <f>Assumptions!$C$27/12</f>
        <v>833.33333333333337</v>
      </c>
      <c r="Z10" s="7">
        <f>Assumptions!$C$27/12</f>
        <v>833.33333333333337</v>
      </c>
      <c r="AA10" s="7">
        <f>Assumptions!$C$27/12</f>
        <v>833.33333333333337</v>
      </c>
      <c r="AB10" s="7">
        <f>Assumptions!$C$27/12</f>
        <v>833.33333333333337</v>
      </c>
      <c r="AC10" s="7">
        <f>Assumptions!$C$27/12</f>
        <v>833.33333333333337</v>
      </c>
      <c r="AD10" s="7">
        <f>Assumptions!$C$27/12</f>
        <v>833.33333333333337</v>
      </c>
      <c r="AE10" s="7">
        <f>Assumptions!$C$27/12</f>
        <v>833.33333333333337</v>
      </c>
      <c r="AF10" s="7">
        <f>Assumptions!$C$27/12</f>
        <v>833.33333333333337</v>
      </c>
      <c r="AG10" s="7">
        <f>Assumptions!$C$27/12</f>
        <v>833.33333333333337</v>
      </c>
      <c r="AH10" s="7">
        <f>Assumptions!$C$27/12</f>
        <v>833.33333333333337</v>
      </c>
      <c r="AI10" s="7">
        <f>Assumptions!$C$27/12</f>
        <v>833.33333333333337</v>
      </c>
      <c r="AJ10" s="7">
        <f>Assumptions!$C$27/12</f>
        <v>833.33333333333337</v>
      </c>
      <c r="AK10" s="7">
        <f>Assumptions!$C$27/12</f>
        <v>833.33333333333337</v>
      </c>
    </row>
    <row r="11" spans="1:37">
      <c r="A11" t="s">
        <v>127</v>
      </c>
      <c r="B11" s="7">
        <f>Assumptions!$C$28/12</f>
        <v>2916.6666666666665</v>
      </c>
      <c r="C11" s="7">
        <f>Assumptions!$C$28/12</f>
        <v>2916.6666666666665</v>
      </c>
      <c r="D11" s="7">
        <f>Assumptions!$C$28/12</f>
        <v>2916.6666666666665</v>
      </c>
      <c r="E11" s="7">
        <f>Assumptions!$C$28/12</f>
        <v>2916.6666666666665</v>
      </c>
      <c r="F11" s="7">
        <f>Assumptions!$C$28/12</f>
        <v>2916.6666666666665</v>
      </c>
      <c r="G11" s="7">
        <f>Assumptions!$C$28/12</f>
        <v>2916.6666666666665</v>
      </c>
      <c r="H11" s="7">
        <f>Assumptions!$C$28/12</f>
        <v>2916.6666666666665</v>
      </c>
      <c r="I11" s="7">
        <f>Assumptions!$C$28/12</f>
        <v>2916.6666666666665</v>
      </c>
      <c r="J11" s="7">
        <f>Assumptions!$C$28/12</f>
        <v>2916.6666666666665</v>
      </c>
      <c r="K11" s="7">
        <f>Assumptions!$C$28/12</f>
        <v>2916.6666666666665</v>
      </c>
      <c r="L11" s="7">
        <f>Assumptions!$C$28/12</f>
        <v>2916.6666666666665</v>
      </c>
      <c r="M11" s="7">
        <f>Assumptions!$C$28/12</f>
        <v>2916.6666666666665</v>
      </c>
      <c r="N11" s="7">
        <v>2000</v>
      </c>
      <c r="O11" s="7">
        <v>2000</v>
      </c>
      <c r="P11" s="7">
        <v>2000</v>
      </c>
      <c r="Q11" s="7">
        <v>2000</v>
      </c>
      <c r="R11" s="7">
        <v>2000</v>
      </c>
      <c r="S11" s="7">
        <v>2000</v>
      </c>
      <c r="T11" s="7">
        <v>2000</v>
      </c>
      <c r="U11" s="7">
        <v>2000</v>
      </c>
      <c r="V11" s="7">
        <v>2000</v>
      </c>
      <c r="W11" s="7">
        <v>2000</v>
      </c>
      <c r="X11" s="7">
        <v>2000</v>
      </c>
      <c r="Y11" s="7">
        <v>2000</v>
      </c>
      <c r="Z11" s="7">
        <v>2000</v>
      </c>
      <c r="AA11" s="7">
        <v>2000</v>
      </c>
      <c r="AB11" s="7">
        <v>2000</v>
      </c>
      <c r="AC11" s="7">
        <v>2000</v>
      </c>
      <c r="AD11" s="7">
        <v>2000</v>
      </c>
      <c r="AE11" s="7">
        <v>2000</v>
      </c>
      <c r="AF11" s="7">
        <v>2000</v>
      </c>
      <c r="AG11" s="7">
        <v>2000</v>
      </c>
      <c r="AH11" s="7">
        <v>2000</v>
      </c>
      <c r="AI11" s="7">
        <v>2000</v>
      </c>
      <c r="AJ11" s="7">
        <v>2000</v>
      </c>
      <c r="AK11" s="7">
        <v>2000</v>
      </c>
    </row>
    <row r="12" spans="1:37">
      <c r="A12" t="s">
        <v>198</v>
      </c>
      <c r="B12" s="7">
        <v>250</v>
      </c>
      <c r="C12" s="7">
        <v>500</v>
      </c>
      <c r="D12" s="7">
        <v>750</v>
      </c>
      <c r="E12" s="7">
        <v>1000</v>
      </c>
      <c r="F12" s="7">
        <v>1250</v>
      </c>
      <c r="G12" s="7">
        <v>1500</v>
      </c>
      <c r="H12" s="7">
        <v>1749.9999999999998</v>
      </c>
      <c r="I12" s="7">
        <v>2000</v>
      </c>
      <c r="J12" s="7">
        <v>2250</v>
      </c>
      <c r="K12" s="7">
        <v>2500</v>
      </c>
      <c r="L12" s="7">
        <v>2750</v>
      </c>
      <c r="M12" s="7">
        <v>3000</v>
      </c>
      <c r="N12" s="7">
        <v>3383.75</v>
      </c>
      <c r="O12" s="7">
        <v>3767.5</v>
      </c>
      <c r="P12" s="7">
        <v>4151.25</v>
      </c>
      <c r="Q12" s="7">
        <v>4535</v>
      </c>
      <c r="R12" s="7">
        <v>4918.75</v>
      </c>
      <c r="S12" s="7">
        <v>5302.5</v>
      </c>
      <c r="T12" s="7">
        <v>5686.25</v>
      </c>
      <c r="U12" s="7">
        <v>6070</v>
      </c>
      <c r="V12" s="7">
        <v>6453.75</v>
      </c>
      <c r="W12" s="7">
        <v>6837.5</v>
      </c>
      <c r="X12" s="7">
        <v>7221.25</v>
      </c>
      <c r="Y12" s="7">
        <v>7605</v>
      </c>
      <c r="Z12" s="7">
        <v>7988.75</v>
      </c>
      <c r="AA12" s="7">
        <v>8372.5</v>
      </c>
      <c r="AB12" s="7">
        <v>8756.25</v>
      </c>
      <c r="AC12" s="7">
        <v>9140</v>
      </c>
      <c r="AD12" s="7">
        <v>9523.75</v>
      </c>
      <c r="AE12" s="7">
        <v>9907.5</v>
      </c>
      <c r="AF12" s="7">
        <v>10291.249999999998</v>
      </c>
      <c r="AG12" s="7">
        <v>10675</v>
      </c>
      <c r="AH12" s="7">
        <v>11058.75</v>
      </c>
      <c r="AI12" s="7">
        <v>11442.5</v>
      </c>
      <c r="AJ12" s="7">
        <v>11826.25</v>
      </c>
      <c r="AK12" s="7">
        <v>12210</v>
      </c>
    </row>
    <row r="13" spans="1:37">
      <c r="A13" t="s">
        <v>199</v>
      </c>
      <c r="B13" s="7">
        <f t="shared" ref="B13:AK13" si="1">B4+B5-SUM(B6:B12)</f>
        <v>-15666.666666666668</v>
      </c>
      <c r="C13" s="7">
        <f t="shared" si="1"/>
        <v>-15916.666666666668</v>
      </c>
      <c r="D13" s="7">
        <f t="shared" si="1"/>
        <v>-16166.666666666668</v>
      </c>
      <c r="E13" s="7">
        <f t="shared" si="1"/>
        <v>-16416.666666666668</v>
      </c>
      <c r="F13" s="7">
        <f t="shared" si="1"/>
        <v>-16666.666666666668</v>
      </c>
      <c r="G13" s="7">
        <f t="shared" si="1"/>
        <v>-16916.666666666668</v>
      </c>
      <c r="H13" s="7">
        <f t="shared" si="1"/>
        <v>-17166.666666666668</v>
      </c>
      <c r="I13" s="7">
        <f t="shared" si="1"/>
        <v>-17416.666666666668</v>
      </c>
      <c r="J13" s="7">
        <f t="shared" si="1"/>
        <v>-17666.666666666668</v>
      </c>
      <c r="K13" s="7">
        <f t="shared" si="1"/>
        <v>-17916.666666666668</v>
      </c>
      <c r="L13" s="7">
        <f t="shared" si="1"/>
        <v>-18166.666666666668</v>
      </c>
      <c r="M13" s="7">
        <f t="shared" si="1"/>
        <v>-18416.666666666668</v>
      </c>
      <c r="N13" s="7">
        <f t="shared" si="1"/>
        <v>577126.25</v>
      </c>
      <c r="O13" s="7">
        <f t="shared" si="1"/>
        <v>-23257.5</v>
      </c>
      <c r="P13" s="7">
        <f t="shared" si="1"/>
        <v>-23641.25</v>
      </c>
      <c r="Q13" s="7">
        <f t="shared" si="1"/>
        <v>-24025</v>
      </c>
      <c r="R13" s="7">
        <f t="shared" si="1"/>
        <v>-24408.75</v>
      </c>
      <c r="S13" s="7">
        <f t="shared" si="1"/>
        <v>-24792.5</v>
      </c>
      <c r="T13" s="7">
        <f t="shared" si="1"/>
        <v>-25176.25</v>
      </c>
      <c r="U13" s="7">
        <f t="shared" si="1"/>
        <v>-25560</v>
      </c>
      <c r="V13" s="7">
        <f t="shared" si="1"/>
        <v>-25943.75</v>
      </c>
      <c r="W13" s="7">
        <f t="shared" si="1"/>
        <v>-26327.5</v>
      </c>
      <c r="X13" s="7">
        <f t="shared" si="1"/>
        <v>-26711.25</v>
      </c>
      <c r="Y13" s="7">
        <f t="shared" si="1"/>
        <v>-27095</v>
      </c>
      <c r="Z13" s="7">
        <f t="shared" si="1"/>
        <v>1171250.625</v>
      </c>
      <c r="AA13" s="7">
        <f t="shared" si="1"/>
        <v>-29133.125</v>
      </c>
      <c r="AB13" s="7">
        <f t="shared" si="1"/>
        <v>-29516.875</v>
      </c>
      <c r="AC13" s="7">
        <f t="shared" si="1"/>
        <v>-29900.625</v>
      </c>
      <c r="AD13" s="7">
        <f t="shared" si="1"/>
        <v>-30284.375</v>
      </c>
      <c r="AE13" s="7">
        <f t="shared" si="1"/>
        <v>-30668.125</v>
      </c>
      <c r="AF13" s="7">
        <f t="shared" si="1"/>
        <v>-31051.875</v>
      </c>
      <c r="AG13" s="7">
        <f t="shared" si="1"/>
        <v>-31435.625</v>
      </c>
      <c r="AH13" s="7">
        <f t="shared" si="1"/>
        <v>-31819.375</v>
      </c>
      <c r="AI13" s="7">
        <f t="shared" si="1"/>
        <v>-32203.125</v>
      </c>
      <c r="AJ13" s="7">
        <f t="shared" si="1"/>
        <v>-32586.875</v>
      </c>
      <c r="AK13" s="7">
        <f t="shared" si="1"/>
        <v>-32970.625</v>
      </c>
    </row>
    <row r="14" spans="1:37" ht="15">
      <c r="A14" s="1" t="s">
        <v>200</v>
      </c>
      <c r="B14" s="9">
        <f t="shared" ref="B14:AK14" si="2">B3+B13</f>
        <v>184333.33333333334</v>
      </c>
      <c r="C14" s="9">
        <f t="shared" si="2"/>
        <v>168416.66666666669</v>
      </c>
      <c r="D14" s="9">
        <f t="shared" si="2"/>
        <v>152250.00000000003</v>
      </c>
      <c r="E14" s="9">
        <f t="shared" si="2"/>
        <v>135833.33333333337</v>
      </c>
      <c r="F14" s="9">
        <f t="shared" si="2"/>
        <v>119166.6666666667</v>
      </c>
      <c r="G14" s="9">
        <f t="shared" si="2"/>
        <v>102250.00000000003</v>
      </c>
      <c r="H14" s="9">
        <f t="shared" si="2"/>
        <v>85083.333333333358</v>
      </c>
      <c r="I14" s="9">
        <f t="shared" si="2"/>
        <v>67666.666666666686</v>
      </c>
      <c r="J14" s="9">
        <f t="shared" si="2"/>
        <v>50000.000000000015</v>
      </c>
      <c r="K14" s="9">
        <f t="shared" si="2"/>
        <v>32083.333333333347</v>
      </c>
      <c r="L14" s="9">
        <f t="shared" si="2"/>
        <v>13916.666666666679</v>
      </c>
      <c r="M14" s="9">
        <f t="shared" si="2"/>
        <v>-4499.9999999999891</v>
      </c>
      <c r="N14" s="9">
        <f t="shared" si="2"/>
        <v>572626.25</v>
      </c>
      <c r="O14" s="9">
        <f t="shared" si="2"/>
        <v>549368.75</v>
      </c>
      <c r="P14" s="9">
        <f t="shared" si="2"/>
        <v>525727.5</v>
      </c>
      <c r="Q14" s="9">
        <f t="shared" si="2"/>
        <v>501702.5</v>
      </c>
      <c r="R14" s="9">
        <f t="shared" si="2"/>
        <v>477293.75</v>
      </c>
      <c r="S14" s="9">
        <f t="shared" si="2"/>
        <v>452501.25</v>
      </c>
      <c r="T14" s="9">
        <f t="shared" si="2"/>
        <v>427325</v>
      </c>
      <c r="U14" s="9">
        <f t="shared" si="2"/>
        <v>401765</v>
      </c>
      <c r="V14" s="9">
        <f t="shared" si="2"/>
        <v>375821.25</v>
      </c>
      <c r="W14" s="9">
        <f t="shared" si="2"/>
        <v>349493.75</v>
      </c>
      <c r="X14" s="9">
        <f t="shared" si="2"/>
        <v>322782.5</v>
      </c>
      <c r="Y14" s="9">
        <f t="shared" si="2"/>
        <v>295687.5</v>
      </c>
      <c r="Z14" s="9">
        <f t="shared" si="2"/>
        <v>1466938.125</v>
      </c>
      <c r="AA14" s="9">
        <f t="shared" si="2"/>
        <v>1437805</v>
      </c>
      <c r="AB14" s="9">
        <f t="shared" si="2"/>
        <v>1408288.125</v>
      </c>
      <c r="AC14" s="9">
        <f t="shared" si="2"/>
        <v>1378387.5</v>
      </c>
      <c r="AD14" s="9">
        <f t="shared" si="2"/>
        <v>1348103.125</v>
      </c>
      <c r="AE14" s="9">
        <f t="shared" si="2"/>
        <v>1317435</v>
      </c>
      <c r="AF14" s="9">
        <f t="shared" si="2"/>
        <v>1286383.125</v>
      </c>
      <c r="AG14" s="9">
        <f t="shared" si="2"/>
        <v>1254947.5</v>
      </c>
      <c r="AH14" s="9">
        <f t="shared" si="2"/>
        <v>1223128.125</v>
      </c>
      <c r="AI14" s="9">
        <f t="shared" si="2"/>
        <v>1190925</v>
      </c>
      <c r="AJ14" s="9">
        <f t="shared" si="2"/>
        <v>1158338.125</v>
      </c>
      <c r="AK14" s="9">
        <f t="shared" si="2"/>
        <v>1125367.5</v>
      </c>
    </row>
  </sheetData>
  <mergeCells count="1">
    <mergeCell ref="A1:A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"/>
  <sheetViews>
    <sheetView zoomScale="200" workbookViewId="0">
      <selection activeCell="D7" sqref="D7"/>
    </sheetView>
  </sheetViews>
  <sheetFormatPr baseColWidth="10" defaultColWidth="8.83203125" defaultRowHeight="14"/>
  <cols>
    <col min="1" max="1" width="24" customWidth="1"/>
    <col min="2" max="2" width="15" customWidth="1"/>
    <col min="3" max="3" width="15.83203125" customWidth="1"/>
    <col min="4" max="4" width="16.83203125" customWidth="1"/>
    <col min="5" max="6" width="34" customWidth="1"/>
  </cols>
  <sheetData>
    <row r="1" spans="1:11" ht="15">
      <c r="A1" s="25" t="s">
        <v>201</v>
      </c>
      <c r="B1" s="25"/>
      <c r="C1" s="25"/>
      <c r="D1" s="25"/>
      <c r="E1" s="25"/>
      <c r="F1" s="23"/>
      <c r="G1" s="23"/>
      <c r="H1" s="23"/>
      <c r="I1" s="23"/>
      <c r="J1" s="23"/>
      <c r="K1" s="23"/>
    </row>
    <row r="2" spans="1:11" ht="15">
      <c r="A2" s="3" t="s">
        <v>194</v>
      </c>
      <c r="B2" s="3" t="s">
        <v>155</v>
      </c>
      <c r="C2" s="3" t="s">
        <v>156</v>
      </c>
      <c r="D2" s="3" t="s">
        <v>157</v>
      </c>
      <c r="E2" s="3" t="s">
        <v>202</v>
      </c>
    </row>
    <row r="3" spans="1:11">
      <c r="A3" t="s">
        <v>179</v>
      </c>
      <c r="B3">
        <f>'3Y Scenarios'!E3</f>
        <v>1000</v>
      </c>
      <c r="C3">
        <f>'3Y Scenarios'!F3</f>
        <v>2000</v>
      </c>
      <c r="D3">
        <v>3000</v>
      </c>
      <c r="E3" t="s">
        <v>203</v>
      </c>
    </row>
    <row r="4" spans="1:11">
      <c r="A4" t="s">
        <v>145</v>
      </c>
      <c r="B4" s="7">
        <f>'3Y Scenarios'!E4</f>
        <v>0</v>
      </c>
      <c r="C4" s="7">
        <f>'3Y Scenarios'!F4</f>
        <v>1000</v>
      </c>
      <c r="D4" s="7">
        <f>'3Y Scenarios'!G4</f>
        <v>2000</v>
      </c>
      <c r="E4" t="s">
        <v>204</v>
      </c>
    </row>
    <row r="5" spans="1:11">
      <c r="A5" t="s">
        <v>181</v>
      </c>
      <c r="B5" s="7">
        <f>'3Y Scenarios'!E6</f>
        <v>0</v>
      </c>
      <c r="C5" s="7">
        <f>'3Y Scenarios'!F6</f>
        <v>642000</v>
      </c>
      <c r="D5" s="7">
        <f>'3Y Scenarios'!G6</f>
        <v>1284000</v>
      </c>
      <c r="E5" t="s">
        <v>205</v>
      </c>
    </row>
    <row r="6" spans="1:11" ht="15">
      <c r="A6" s="1" t="s">
        <v>105</v>
      </c>
      <c r="B6" s="9">
        <v>5000</v>
      </c>
      <c r="C6" s="9">
        <v>10000</v>
      </c>
      <c r="D6" s="9">
        <v>15000</v>
      </c>
      <c r="E6" s="1" t="s">
        <v>206</v>
      </c>
    </row>
    <row r="7" spans="1:11">
      <c r="A7" t="s">
        <v>185</v>
      </c>
      <c r="B7" s="33">
        <f>B5-B6</f>
        <v>-5000</v>
      </c>
      <c r="C7" s="33">
        <f>C5-C6</f>
        <v>632000</v>
      </c>
      <c r="D7" s="33">
        <f>D5-D6</f>
        <v>1269000</v>
      </c>
    </row>
    <row r="8" spans="1:11">
      <c r="A8" t="s">
        <v>186</v>
      </c>
      <c r="B8" s="7">
        <f>IFERROR(B7/B5,0)</f>
        <v>0</v>
      </c>
      <c r="C8" s="7">
        <f>IFERROR(C7/C5,0)</f>
        <v>0.98442367601246106</v>
      </c>
      <c r="D8" s="7">
        <f>IFERROR(D7/D5,0)</f>
        <v>0.98831775700934577</v>
      </c>
    </row>
    <row r="9" spans="1:11">
      <c r="A9" t="s">
        <v>187</v>
      </c>
      <c r="B9" s="7">
        <f>'3Y Scenarios'!E12</f>
        <v>0</v>
      </c>
      <c r="C9" s="7">
        <f>'3Y Scenarios'!F12</f>
        <v>89880</v>
      </c>
      <c r="D9" s="7">
        <f>'3Y Scenarios'!G12</f>
        <v>105127.5</v>
      </c>
      <c r="E9" t="s">
        <v>207</v>
      </c>
    </row>
    <row r="10" spans="1:11">
      <c r="A10" t="s">
        <v>188</v>
      </c>
      <c r="B10" s="7">
        <f>'3Y Scenarios'!E13</f>
        <v>50000</v>
      </c>
      <c r="C10" s="7">
        <f>'3Y Scenarios'!F13</f>
        <v>50000</v>
      </c>
      <c r="D10" s="7">
        <f>'3Y Scenarios'!G13</f>
        <v>50000</v>
      </c>
    </row>
    <row r="11" spans="1:11">
      <c r="A11" t="s">
        <v>189</v>
      </c>
      <c r="B11" s="7">
        <f>'3Y Scenarios'!E14</f>
        <v>30000</v>
      </c>
      <c r="C11" s="7">
        <f>'3Y Scenarios'!F14</f>
        <v>30000</v>
      </c>
      <c r="D11" s="7">
        <f>'3Y Scenarios'!G14</f>
        <v>30000</v>
      </c>
    </row>
    <row r="12" spans="1:11">
      <c r="A12" t="s">
        <v>125</v>
      </c>
      <c r="B12" s="7">
        <f>'3Y Scenarios'!E15</f>
        <v>10000</v>
      </c>
      <c r="C12" s="7">
        <v>7500</v>
      </c>
      <c r="D12" s="7">
        <v>7500</v>
      </c>
    </row>
    <row r="13" spans="1:11">
      <c r="A13" t="s">
        <v>127</v>
      </c>
      <c r="B13" s="7">
        <f>'3Y Scenarios'!E16</f>
        <v>35000</v>
      </c>
      <c r="C13" s="7">
        <f>'3Y Scenarios'!F16</f>
        <v>24000</v>
      </c>
      <c r="D13" s="7">
        <f>'3Y Scenarios'!G16</f>
        <v>24000</v>
      </c>
    </row>
    <row r="14" spans="1:11">
      <c r="A14" t="s">
        <v>190</v>
      </c>
      <c r="B14" s="7">
        <f>'3Y Scenarios'!E17</f>
        <v>60000</v>
      </c>
      <c r="C14" s="7">
        <f>'3Y Scenarios'!F17</f>
        <v>0</v>
      </c>
      <c r="D14" s="7">
        <f>'3Y Scenarios'!G17</f>
        <v>0</v>
      </c>
      <c r="E14" t="s">
        <v>208</v>
      </c>
    </row>
    <row r="15" spans="1:11" ht="15">
      <c r="A15" s="1" t="s">
        <v>191</v>
      </c>
      <c r="B15" s="9">
        <f>B7-SUM(B9:B14)</f>
        <v>-190000</v>
      </c>
      <c r="C15" s="9">
        <f>C7-SUM(C9:C14)</f>
        <v>430620</v>
      </c>
      <c r="D15" s="9">
        <f>D7-SUM(D9:D14)</f>
        <v>1052372.5</v>
      </c>
      <c r="E15" s="1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Assumptions</vt:lpstr>
      <vt:lpstr>Use of Funds</vt:lpstr>
      <vt:lpstr>Commission Model</vt:lpstr>
      <vt:lpstr>Entry Study</vt:lpstr>
      <vt:lpstr>3Y Scenarios</vt:lpstr>
      <vt:lpstr>36M Cash Flow</vt:lpstr>
      <vt:lpstr>P&amp;L Forecast</vt:lpstr>
      <vt:lpstr>Balance Sheet</vt:lpstr>
      <vt:lpstr>Investor KPIs</vt:lpstr>
      <vt:lpstr>Risk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BALAGAMIAN Miguel</cp:lastModifiedBy>
  <dcterms:created xsi:type="dcterms:W3CDTF">2026-06-07T13:52:25Z</dcterms:created>
  <dcterms:modified xsi:type="dcterms:W3CDTF">2026-06-11T14:22:09Z</dcterms:modified>
</cp:coreProperties>
</file>